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Sheet1"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6" i="1" l="1"/>
  <c r="C35" i="1"/>
  <c r="C34" i="1"/>
  <c r="C33" i="1"/>
  <c r="E34" i="1"/>
  <c r="F5" i="1"/>
  <c r="E35" i="1"/>
  <c r="F28" i="1" l="1"/>
  <c r="E10" i="1"/>
  <c r="F10" i="1" s="1"/>
  <c r="E11" i="1"/>
  <c r="F11" i="1"/>
  <c r="F25" i="1"/>
  <c r="E6" i="1"/>
  <c r="E7" i="1" s="1"/>
  <c r="E28" i="1"/>
  <c r="D28" i="1"/>
  <c r="D30" i="1" s="1"/>
  <c r="D29" i="1"/>
  <c r="B30" i="1"/>
  <c r="C14" i="1"/>
  <c r="D8" i="1"/>
  <c r="E12" i="1" l="1"/>
  <c r="F12" i="1" s="1"/>
  <c r="F7" i="1"/>
  <c r="E29" i="1"/>
  <c r="E30" i="1" s="1"/>
  <c r="E8" i="1"/>
  <c r="F8" i="1" s="1"/>
  <c r="F14" i="1"/>
  <c r="F6" i="1"/>
  <c r="E14" i="1"/>
  <c r="B23" i="1"/>
  <c r="E23" i="1" l="1"/>
  <c r="D23" i="1"/>
  <c r="F23" i="1"/>
  <c r="B24" i="1"/>
  <c r="F29" i="1"/>
  <c r="F30" i="1" s="1"/>
  <c r="E33" i="1" l="1"/>
  <c r="D36" i="1" s="1"/>
  <c r="D24" i="1"/>
  <c r="E24" i="1"/>
  <c r="F24" i="1"/>
  <c r="F26" i="1" s="1"/>
  <c r="B26" i="1"/>
  <c r="D26" i="1"/>
  <c r="E26" i="1"/>
</calcChain>
</file>

<file path=xl/sharedStrings.xml><?xml version="1.0" encoding="utf-8"?>
<sst xmlns="http://schemas.openxmlformats.org/spreadsheetml/2006/main" count="58" uniqueCount="38">
  <si>
    <t>Cost Analysis Projection, 600 gallons WVO</t>
  </si>
  <si>
    <t>UIUC Biodiesel Initiative</t>
  </si>
  <si>
    <t>Estimates as of 2012</t>
  </si>
  <si>
    <t>Production (gal)</t>
  </si>
  <si>
    <t>/ batch</t>
  </si>
  <si>
    <t>/ month</t>
  </si>
  <si>
    <t>/ yr</t>
  </si>
  <si>
    <t>Biodiesel</t>
  </si>
  <si>
    <t>Glycerin</t>
  </si>
  <si>
    <t>Soap</t>
  </si>
  <si>
    <t>Totals</t>
  </si>
  <si>
    <t>Input Costs</t>
  </si>
  <si>
    <t>/ Unit</t>
  </si>
  <si>
    <t>Methanol (gallons)</t>
  </si>
  <si>
    <t>Biodiesel KOH (kg)</t>
  </si>
  <si>
    <t>Soap KOH (kg)</t>
  </si>
  <si>
    <t>Fragrance</t>
  </si>
  <si>
    <t>Testing Costs</t>
  </si>
  <si>
    <t>Full ASTM Panel</t>
  </si>
  <si>
    <t>Equipment Costs</t>
  </si>
  <si>
    <t>Reactor Design</t>
  </si>
  <si>
    <t>Cash On-Hand</t>
  </si>
  <si>
    <t>ISTC Refund</t>
  </si>
  <si>
    <t>IBI Balance</t>
  </si>
  <si>
    <t>Costs</t>
  </si>
  <si>
    <t>/ gallon</t>
  </si>
  <si>
    <t>Total</t>
  </si>
  <si>
    <t>Sales</t>
  </si>
  <si>
    <t>Cost and Sales, PPG BD $2.72</t>
  </si>
  <si>
    <t>Total BD Sales</t>
  </si>
  <si>
    <t>Variable BD Cost</t>
  </si>
  <si>
    <t>Starting Capital</t>
  </si>
  <si>
    <t>Fixed Cost</t>
  </si>
  <si>
    <t>Total Revenue</t>
  </si>
  <si>
    <t>Total Cost</t>
  </si>
  <si>
    <t>Net Surplus after one year</t>
  </si>
  <si>
    <t>Important Notes:</t>
  </si>
  <si>
    <t xml:space="preserve">This analysis assumes 8 months of production. For the purposes of this application, this production period would be Fall 2013 to Spring 2014, as the reactor system will not be ready until the end of spring semester. Additionally, this analysis does not include any unexpected costs, contingency, or building modificaitons. It is expected that these will be necessary and will come out of the money that ISTC reimburses us with.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</si>
</sst>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b/>
      <sz val="36"/>
      <color rgb="FF1C4587"/>
      <name val="Calibri"/>
      <family val="2"/>
    </font>
    <font>
      <b/>
      <sz val="36"/>
      <color rgb="FF1C4587"/>
      <name val="Arial"/>
      <family val="2"/>
    </font>
    <font>
      <sz val="12"/>
      <color rgb="FFFFFFFF"/>
      <name val="Calibri"/>
      <family val="2"/>
    </font>
    <font>
      <sz val="10"/>
      <color rgb="FFFFFFFF"/>
      <name val="Arial"/>
      <family val="2"/>
    </font>
    <font>
      <b/>
      <sz val="12"/>
      <color rgb="FF000000"/>
      <name val="Calibri"/>
      <family val="2"/>
    </font>
    <font>
      <sz val="12"/>
      <color rgb="FF000000"/>
      <name val="Calibri"/>
      <family val="2"/>
    </font>
    <font>
      <b/>
      <sz val="10"/>
      <color rgb="FF000000"/>
      <name val="Arial"/>
      <family val="2"/>
    </font>
    <font>
      <b/>
      <sz val="12"/>
      <color rgb="FF000000"/>
      <name val="Arial"/>
      <family val="2"/>
    </font>
    <font>
      <sz val="12"/>
      <color rgb="FF000000"/>
      <name val="Arial"/>
      <family val="2"/>
    </font>
    <font>
      <b/>
      <sz val="14"/>
      <color rgb="FF000000"/>
      <name val="Arial"/>
      <family val="2"/>
    </font>
    <font>
      <b/>
      <sz val="14"/>
      <color rgb="FF000000"/>
      <name val="Calibri"/>
      <family val="2"/>
    </font>
    <font>
      <sz val="12"/>
      <color rgb="FF6AA84F"/>
      <name val="Calibri"/>
      <family val="2"/>
    </font>
    <font>
      <sz val="12"/>
      <color rgb="FFCC0000"/>
      <name val="Calibri"/>
      <family val="2"/>
    </font>
  </fonts>
  <fills count="7">
    <fill>
      <patternFill patternType="none"/>
    </fill>
    <fill>
      <patternFill patternType="gray125"/>
    </fill>
    <fill>
      <patternFill patternType="solid">
        <fgColor rgb="FFFF9900"/>
        <bgColor indexed="64"/>
      </patternFill>
    </fill>
    <fill>
      <patternFill patternType="solid">
        <fgColor rgb="FF0B5394"/>
        <bgColor indexed="64"/>
      </patternFill>
    </fill>
    <fill>
      <patternFill patternType="solid">
        <fgColor rgb="FFD9D9D9"/>
        <bgColor indexed="64"/>
      </patternFill>
    </fill>
    <fill>
      <patternFill patternType="solid">
        <fgColor rgb="FFF1F7FF"/>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0" fillId="0" borderId="2" xfId="0" applyBorder="1" applyAlignment="1">
      <alignment wrapText="1"/>
    </xf>
    <xf numFmtId="0" fontId="0" fillId="0" borderId="0" xfId="0" applyAlignment="1">
      <alignment wrapText="1"/>
    </xf>
    <xf numFmtId="4" fontId="5" fillId="4" borderId="3" xfId="0" applyNumberFormat="1" applyFont="1" applyFill="1" applyBorder="1" applyAlignment="1">
      <alignment horizontal="left" wrapText="1"/>
    </xf>
    <xf numFmtId="4" fontId="5" fillId="4" borderId="3" xfId="0" applyNumberFormat="1" applyFont="1" applyFill="1" applyBorder="1" applyAlignment="1">
      <alignment horizontal="left"/>
    </xf>
    <xf numFmtId="4" fontId="6" fillId="0" borderId="0" xfId="0" applyNumberFormat="1" applyFont="1" applyAlignment="1">
      <alignment horizontal="left"/>
    </xf>
    <xf numFmtId="0" fontId="6" fillId="0" borderId="0" xfId="0" applyFont="1" applyAlignment="1">
      <alignment horizontal="left"/>
    </xf>
    <xf numFmtId="4" fontId="5" fillId="4" borderId="0" xfId="0" applyNumberFormat="1" applyFont="1" applyFill="1" applyAlignment="1">
      <alignment horizontal="left"/>
    </xf>
    <xf numFmtId="4" fontId="7" fillId="4" borderId="0" xfId="0" applyNumberFormat="1" applyFont="1" applyFill="1" applyAlignment="1">
      <alignment horizontal="left" wrapText="1"/>
    </xf>
    <xf numFmtId="4" fontId="6" fillId="0" borderId="0" xfId="0" applyNumberFormat="1" applyFont="1"/>
    <xf numFmtId="4" fontId="6" fillId="0" borderId="0" xfId="0" applyNumberFormat="1" applyFont="1" applyAlignment="1">
      <alignment horizontal="left" wrapText="1"/>
    </xf>
    <xf numFmtId="0" fontId="8" fillId="4" borderId="0" xfId="0" applyFont="1" applyFill="1"/>
    <xf numFmtId="0" fontId="6" fillId="4" borderId="0" xfId="0" applyFont="1" applyFill="1" applyAlignment="1">
      <alignment wrapText="1"/>
    </xf>
    <xf numFmtId="4" fontId="6" fillId="4" borderId="0" xfId="0" applyNumberFormat="1" applyFont="1" applyFill="1" applyAlignment="1">
      <alignment horizontal="left"/>
    </xf>
    <xf numFmtId="0" fontId="9" fillId="0" borderId="0" xfId="0" applyFont="1" applyAlignment="1">
      <alignment wrapText="1"/>
    </xf>
    <xf numFmtId="0" fontId="8" fillId="4" borderId="0" xfId="0" applyFont="1" applyFill="1" applyAlignment="1">
      <alignment wrapText="1"/>
    </xf>
    <xf numFmtId="0" fontId="0" fillId="0" borderId="5" xfId="0" applyBorder="1" applyAlignment="1">
      <alignment wrapText="1"/>
    </xf>
    <xf numFmtId="4" fontId="5" fillId="0" borderId="1" xfId="0" applyNumberFormat="1" applyFont="1" applyBorder="1" applyAlignment="1">
      <alignment horizontal="left" wrapText="1"/>
    </xf>
    <xf numFmtId="4" fontId="6" fillId="0" borderId="1" xfId="0" applyNumberFormat="1" applyFont="1" applyBorder="1" applyAlignment="1">
      <alignment horizontal="left"/>
    </xf>
    <xf numFmtId="4" fontId="6" fillId="0" borderId="2" xfId="0" applyNumberFormat="1" applyFont="1" applyBorder="1" applyAlignment="1">
      <alignment horizontal="left"/>
    </xf>
    <xf numFmtId="4" fontId="12" fillId="0" borderId="1" xfId="0" applyNumberFormat="1" applyFont="1" applyBorder="1" applyAlignment="1">
      <alignment horizontal="left"/>
    </xf>
    <xf numFmtId="4" fontId="5" fillId="5" borderId="1" xfId="0" applyNumberFormat="1" applyFont="1" applyFill="1" applyBorder="1" applyAlignment="1">
      <alignment horizontal="left" wrapText="1"/>
    </xf>
    <xf numFmtId="4" fontId="13" fillId="0" borderId="1" xfId="0" applyNumberFormat="1" applyFont="1" applyBorder="1" applyAlignment="1">
      <alignment horizontal="left"/>
    </xf>
    <xf numFmtId="0" fontId="0" fillId="0" borderId="3" xfId="0" applyBorder="1" applyAlignment="1">
      <alignment wrapText="1"/>
    </xf>
    <xf numFmtId="4" fontId="6" fillId="0" borderId="3" xfId="0" applyNumberFormat="1" applyFont="1" applyBorder="1" applyAlignment="1">
      <alignment horizontal="left"/>
    </xf>
    <xf numFmtId="4" fontId="0" fillId="0" borderId="0" xfId="0" applyNumberFormat="1" applyAlignment="1">
      <alignment horizontal="left" wrapText="1"/>
    </xf>
    <xf numFmtId="0" fontId="0" fillId="0" borderId="0" xfId="0" applyAlignment="1">
      <alignment horizontal="left" wrapText="1"/>
    </xf>
    <xf numFmtId="4" fontId="1" fillId="2" borderId="6" xfId="0" applyNumberFormat="1" applyFont="1" applyFill="1" applyBorder="1" applyAlignment="1">
      <alignment horizontal="center" vertical="center"/>
    </xf>
    <xf numFmtId="4" fontId="2" fillId="2" borderId="7" xfId="0" applyNumberFormat="1"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4" fontId="3" fillId="3" borderId="1" xfId="0" applyNumberFormat="1" applyFont="1" applyFill="1" applyBorder="1" applyAlignment="1">
      <alignment horizontal="center"/>
    </xf>
    <xf numFmtId="4" fontId="4" fillId="3" borderId="1" xfId="0" applyNumberFormat="1" applyFont="1" applyFill="1" applyBorder="1" applyAlignment="1">
      <alignment horizontal="center" wrapText="1"/>
    </xf>
    <xf numFmtId="0" fontId="10" fillId="4" borderId="0" xfId="0" applyFont="1" applyFill="1" applyAlignment="1">
      <alignment horizontal="center" wrapText="1"/>
    </xf>
    <xf numFmtId="0" fontId="10" fillId="4" borderId="4" xfId="0" applyFont="1" applyFill="1" applyBorder="1" applyAlignment="1">
      <alignment horizontal="center" wrapText="1"/>
    </xf>
    <xf numFmtId="4" fontId="11" fillId="4" borderId="4" xfId="0" applyNumberFormat="1" applyFont="1" applyFill="1" applyBorder="1" applyAlignment="1">
      <alignment horizontal="center"/>
    </xf>
    <xf numFmtId="4" fontId="11" fillId="4" borderId="0" xfId="0" applyNumberFormat="1" applyFont="1" applyFill="1" applyAlignment="1">
      <alignment horizontal="center"/>
    </xf>
    <xf numFmtId="4" fontId="5" fillId="6" borderId="1" xfId="0" applyNumberFormat="1" applyFont="1" applyFill="1" applyBorder="1" applyAlignment="1">
      <alignment horizontal="left" wrapText="1"/>
    </xf>
    <xf numFmtId="4" fontId="5" fillId="6" borderId="1" xfId="0" applyNumberFormat="1" applyFont="1" applyFill="1" applyBorder="1" applyAlignment="1">
      <alignment horizontal="center"/>
    </xf>
    <xf numFmtId="4" fontId="6" fillId="0" borderId="1" xfId="0" applyNumberFormat="1" applyFont="1" applyBorder="1"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Normal="100" workbookViewId="0">
      <selection activeCell="E42" sqref="E42"/>
    </sheetView>
  </sheetViews>
  <sheetFormatPr defaultColWidth="17.125" defaultRowHeight="12.75" customHeight="1" x14ac:dyDescent="0.25"/>
  <cols>
    <col min="1" max="6" width="18" style="2" customWidth="1"/>
    <col min="7" max="16384" width="17.125" style="2"/>
  </cols>
  <sheetData>
    <row r="1" spans="1:7" ht="46.5" x14ac:dyDescent="0.25">
      <c r="A1" s="27" t="s">
        <v>0</v>
      </c>
      <c r="B1" s="28"/>
      <c r="C1" s="28"/>
      <c r="D1" s="28"/>
      <c r="E1" s="28"/>
      <c r="F1" s="29"/>
      <c r="G1" s="1"/>
    </row>
    <row r="2" spans="1:7" ht="15.75" x14ac:dyDescent="0.25">
      <c r="A2" s="30" t="s">
        <v>1</v>
      </c>
      <c r="B2" s="31"/>
      <c r="C2" s="31"/>
      <c r="D2" s="31"/>
      <c r="E2" s="31"/>
      <c r="F2" s="31"/>
      <c r="G2" s="1"/>
    </row>
    <row r="3" spans="1:7" ht="15.75" x14ac:dyDescent="0.25">
      <c r="A3" s="30" t="s">
        <v>2</v>
      </c>
      <c r="B3" s="31"/>
      <c r="C3" s="31"/>
      <c r="D3" s="31"/>
      <c r="E3" s="31"/>
      <c r="F3" s="31"/>
      <c r="G3" s="1"/>
    </row>
    <row r="4" spans="1:7" ht="15.75" x14ac:dyDescent="0.25">
      <c r="A4" s="3" t="s">
        <v>3</v>
      </c>
      <c r="B4" s="4"/>
      <c r="C4" s="4"/>
      <c r="D4" s="4" t="s">
        <v>4</v>
      </c>
      <c r="E4" s="4" t="s">
        <v>5</v>
      </c>
      <c r="F4" s="4" t="s">
        <v>6</v>
      </c>
    </row>
    <row r="5" spans="1:7" ht="15.75" x14ac:dyDescent="0.25">
      <c r="A5" s="5" t="s">
        <v>7</v>
      </c>
      <c r="B5" s="5"/>
      <c r="C5" s="6"/>
      <c r="D5" s="6">
        <v>330</v>
      </c>
      <c r="E5" s="6">
        <v>600</v>
      </c>
      <c r="F5" s="6">
        <f>E5*8</f>
        <v>4800</v>
      </c>
    </row>
    <row r="6" spans="1:7" ht="15.75" x14ac:dyDescent="0.25">
      <c r="A6" s="5" t="s">
        <v>8</v>
      </c>
      <c r="B6" s="5"/>
      <c r="C6" s="6"/>
      <c r="D6" s="6">
        <v>80</v>
      </c>
      <c r="E6" s="6">
        <f>E5*0.25</f>
        <v>150</v>
      </c>
      <c r="F6" s="6">
        <f>E6*8</f>
        <v>1200</v>
      </c>
    </row>
    <row r="7" spans="1:7" ht="15.75" x14ac:dyDescent="0.25">
      <c r="A7" s="5" t="s">
        <v>9</v>
      </c>
      <c r="B7" s="5"/>
      <c r="C7" s="6"/>
      <c r="D7" s="6">
        <v>450</v>
      </c>
      <c r="E7" s="6">
        <f>E6/0.4</f>
        <v>375</v>
      </c>
      <c r="F7" s="6">
        <f>E7*8</f>
        <v>3000</v>
      </c>
    </row>
    <row r="8" spans="1:7" ht="15.75" x14ac:dyDescent="0.25">
      <c r="A8" s="5" t="s">
        <v>10</v>
      </c>
      <c r="B8" s="5"/>
      <c r="C8" s="6"/>
      <c r="D8" s="6">
        <f>SUM(D5:D7)</f>
        <v>860</v>
      </c>
      <c r="E8" s="6">
        <f>SUM(E5:E7)</f>
        <v>1125</v>
      </c>
      <c r="F8" s="6">
        <f>E8*8</f>
        <v>9000</v>
      </c>
    </row>
    <row r="9" spans="1:7" ht="15.75" x14ac:dyDescent="0.25">
      <c r="A9" s="7" t="s">
        <v>11</v>
      </c>
      <c r="B9" s="7"/>
      <c r="C9" s="7" t="s">
        <v>12</v>
      </c>
      <c r="D9" s="7" t="s">
        <v>4</v>
      </c>
      <c r="E9" s="7" t="s">
        <v>5</v>
      </c>
      <c r="F9" s="7" t="s">
        <v>6</v>
      </c>
    </row>
    <row r="10" spans="1:7" ht="15.75" x14ac:dyDescent="0.25">
      <c r="A10" s="5" t="s">
        <v>13</v>
      </c>
      <c r="B10" s="5"/>
      <c r="C10" s="5">
        <v>2.59</v>
      </c>
      <c r="D10" s="5">
        <v>113.4</v>
      </c>
      <c r="E10" s="5">
        <f>(C10*D10)*(E5/D5)</f>
        <v>534.01090909090908</v>
      </c>
      <c r="F10" s="5">
        <f>E10*8</f>
        <v>4272.0872727272726</v>
      </c>
    </row>
    <row r="11" spans="1:7" ht="15.75" x14ac:dyDescent="0.25">
      <c r="A11" s="5" t="s">
        <v>14</v>
      </c>
      <c r="B11" s="5"/>
      <c r="C11" s="5">
        <v>3.9683239559999999</v>
      </c>
      <c r="D11" s="5">
        <v>16.559999999999999</v>
      </c>
      <c r="E11" s="5">
        <f>(C11*D11)*(E5/D5)</f>
        <v>119.48262674792726</v>
      </c>
      <c r="F11" s="5">
        <f>E11*8</f>
        <v>955.86101398341805</v>
      </c>
    </row>
    <row r="12" spans="1:7" ht="15.75" x14ac:dyDescent="0.25">
      <c r="A12" s="5" t="s">
        <v>15</v>
      </c>
      <c r="B12" s="5"/>
      <c r="C12" s="5">
        <v>3.9683239559999999</v>
      </c>
      <c r="D12" s="5">
        <v>61.4</v>
      </c>
      <c r="E12" s="5">
        <f>(C12*D12)*(E7/D7)</f>
        <v>203.04590908199998</v>
      </c>
      <c r="F12" s="5">
        <f>E12*8</f>
        <v>1624.3672726559998</v>
      </c>
    </row>
    <row r="13" spans="1:7" ht="15.75" x14ac:dyDescent="0.25">
      <c r="A13" s="5" t="s">
        <v>16</v>
      </c>
      <c r="B13" s="5"/>
      <c r="C13" s="5"/>
      <c r="D13" s="5"/>
      <c r="E13" s="5"/>
      <c r="F13" s="5"/>
    </row>
    <row r="14" spans="1:7" ht="15.75" x14ac:dyDescent="0.25">
      <c r="A14" s="5" t="s">
        <v>10</v>
      </c>
      <c r="B14" s="5"/>
      <c r="C14" s="5">
        <f>C10+C11</f>
        <v>6.5583239559999997</v>
      </c>
      <c r="D14" s="5">
        <v>129.96</v>
      </c>
      <c r="E14" s="5">
        <f>SUM(E10:E12)</f>
        <v>856.53944492083633</v>
      </c>
      <c r="F14" s="5">
        <f>SUM(F10:F12)</f>
        <v>6852.3155593666906</v>
      </c>
    </row>
    <row r="15" spans="1:7" ht="15.75" x14ac:dyDescent="0.25">
      <c r="A15" s="7" t="s">
        <v>17</v>
      </c>
      <c r="B15" s="8"/>
      <c r="C15" s="8"/>
      <c r="D15" s="7"/>
      <c r="E15" s="7"/>
      <c r="F15" s="7" t="s">
        <v>6</v>
      </c>
    </row>
    <row r="16" spans="1:7" ht="15.75" x14ac:dyDescent="0.25">
      <c r="A16" s="5" t="s">
        <v>18</v>
      </c>
      <c r="B16" s="5"/>
      <c r="C16" s="5"/>
      <c r="D16" s="5"/>
      <c r="E16" s="5"/>
      <c r="F16" s="5">
        <f>676*4</f>
        <v>2704</v>
      </c>
      <c r="G16" s="9"/>
    </row>
    <row r="17" spans="1:7" ht="15.75" x14ac:dyDescent="0.25">
      <c r="A17" s="7" t="s">
        <v>19</v>
      </c>
      <c r="B17" s="7"/>
      <c r="C17" s="7"/>
      <c r="D17" s="7"/>
      <c r="E17" s="7"/>
      <c r="F17" s="7" t="s">
        <v>10</v>
      </c>
    </row>
    <row r="18" spans="1:7" ht="15.75" x14ac:dyDescent="0.25">
      <c r="A18" s="10" t="s">
        <v>20</v>
      </c>
      <c r="B18" s="5"/>
      <c r="D18" s="5"/>
      <c r="F18" s="5">
        <v>28668</v>
      </c>
      <c r="G18" s="9"/>
    </row>
    <row r="19" spans="1:7" ht="15.75" x14ac:dyDescent="0.25">
      <c r="A19" s="11" t="s">
        <v>21</v>
      </c>
      <c r="B19" s="7"/>
      <c r="C19" s="7"/>
      <c r="D19" s="7"/>
      <c r="E19" s="7"/>
      <c r="F19" s="7" t="s">
        <v>10</v>
      </c>
    </row>
    <row r="20" spans="1:7" ht="15.75" x14ac:dyDescent="0.25">
      <c r="A20" s="10" t="s">
        <v>22</v>
      </c>
      <c r="B20" s="5"/>
      <c r="C20" s="5"/>
      <c r="F20" s="5">
        <v>15000</v>
      </c>
    </row>
    <row r="21" spans="1:7" ht="15.75" x14ac:dyDescent="0.25">
      <c r="A21" s="10" t="s">
        <v>23</v>
      </c>
      <c r="B21" s="5"/>
      <c r="C21" s="5"/>
      <c r="F21" s="5">
        <v>3000</v>
      </c>
    </row>
    <row r="22" spans="1:7" ht="15.75" x14ac:dyDescent="0.25">
      <c r="A22" s="7" t="s">
        <v>24</v>
      </c>
      <c r="B22" s="12" t="s">
        <v>25</v>
      </c>
      <c r="C22" s="13"/>
      <c r="D22" s="12" t="s">
        <v>4</v>
      </c>
      <c r="E22" s="12" t="s">
        <v>5</v>
      </c>
      <c r="F22" s="12" t="s">
        <v>6</v>
      </c>
    </row>
    <row r="23" spans="1:7" ht="15.75" x14ac:dyDescent="0.25">
      <c r="A23" s="5" t="s">
        <v>7</v>
      </c>
      <c r="B23" s="5">
        <f>SUM(F10:F11)/F5</f>
        <v>1.0891558930647272</v>
      </c>
      <c r="D23" s="5">
        <f>D5*B23</f>
        <v>359.42144471135998</v>
      </c>
      <c r="E23" s="5">
        <f>E5*B23</f>
        <v>653.49353583883624</v>
      </c>
      <c r="F23" s="5">
        <f>B23*F5</f>
        <v>5227.9482867106899</v>
      </c>
    </row>
    <row r="24" spans="1:7" ht="15.75" x14ac:dyDescent="0.25">
      <c r="A24" s="5" t="s">
        <v>9</v>
      </c>
      <c r="B24" s="5">
        <f>SUM(F12)/F7</f>
        <v>0.54145575755199993</v>
      </c>
      <c r="D24" s="5">
        <f>B24*D7</f>
        <v>243.65509089839998</v>
      </c>
      <c r="E24" s="5">
        <f>B24*E7</f>
        <v>203.04590908199998</v>
      </c>
      <c r="F24" s="5">
        <f>F7*B24</f>
        <v>1624.3672726559998</v>
      </c>
    </row>
    <row r="25" spans="1:7" ht="15.75" x14ac:dyDescent="0.25">
      <c r="A25" s="5" t="s">
        <v>18</v>
      </c>
      <c r="B25" s="5"/>
      <c r="C25" s="5"/>
      <c r="D25" s="5"/>
      <c r="E25" s="5"/>
      <c r="F25" s="5">
        <f>676*2</f>
        <v>1352</v>
      </c>
      <c r="G25" s="9"/>
    </row>
    <row r="26" spans="1:7" ht="15.75" x14ac:dyDescent="0.25">
      <c r="A26" s="14" t="s">
        <v>26</v>
      </c>
      <c r="B26" s="5">
        <f>SUM(B23,B24)</f>
        <v>1.6306116506167272</v>
      </c>
      <c r="D26" s="5">
        <f>SUM(D23,D24)</f>
        <v>603.07653560975996</v>
      </c>
      <c r="E26" s="5">
        <f>SUM(E23, E24)</f>
        <v>856.53944492083622</v>
      </c>
      <c r="F26" s="5">
        <f>SUM(F23:F25)</f>
        <v>8204.3155593666888</v>
      </c>
    </row>
    <row r="27" spans="1:7" ht="15.75" x14ac:dyDescent="0.25">
      <c r="A27" s="15" t="s">
        <v>27</v>
      </c>
      <c r="B27" s="7" t="s">
        <v>25</v>
      </c>
      <c r="C27" s="13"/>
      <c r="D27" s="7" t="s">
        <v>4</v>
      </c>
      <c r="E27" s="7" t="s">
        <v>5</v>
      </c>
      <c r="F27" s="7" t="s">
        <v>6</v>
      </c>
    </row>
    <row r="28" spans="1:7" ht="15.75" x14ac:dyDescent="0.25">
      <c r="A28" s="14" t="s">
        <v>7</v>
      </c>
      <c r="B28" s="5">
        <v>2.72</v>
      </c>
      <c r="D28" s="5">
        <f>SUM((D5*B28))</f>
        <v>897.6</v>
      </c>
      <c r="E28" s="5">
        <f>E5*B28</f>
        <v>1632.0000000000002</v>
      </c>
      <c r="F28" s="5">
        <f>F5*B28</f>
        <v>13056.000000000002</v>
      </c>
    </row>
    <row r="29" spans="1:7" ht="15.75" x14ac:dyDescent="0.25">
      <c r="A29" s="14" t="s">
        <v>9</v>
      </c>
      <c r="B29" s="5">
        <v>3</v>
      </c>
      <c r="D29" s="5">
        <f>SUM((D7*B29))</f>
        <v>1350</v>
      </c>
      <c r="E29" s="5">
        <f>E7*B29</f>
        <v>1125</v>
      </c>
      <c r="F29" s="5">
        <f>F7*B29</f>
        <v>9000</v>
      </c>
    </row>
    <row r="30" spans="1:7" ht="15.75" x14ac:dyDescent="0.25">
      <c r="A30" s="14" t="s">
        <v>10</v>
      </c>
      <c r="B30" s="5">
        <f>SUM(B28,B29)</f>
        <v>5.7200000000000006</v>
      </c>
      <c r="D30" s="5">
        <f>SUM(D28,D29)</f>
        <v>2247.6</v>
      </c>
      <c r="E30" s="5">
        <f>SUM((E28+E29))</f>
        <v>2757</v>
      </c>
      <c r="F30" s="5">
        <f>SUM((F28+F29))</f>
        <v>22056</v>
      </c>
    </row>
    <row r="31" spans="1:7" ht="15.75" x14ac:dyDescent="0.25">
      <c r="A31" s="14"/>
      <c r="B31" s="14"/>
      <c r="C31" s="14"/>
      <c r="D31" s="14"/>
      <c r="E31" s="9"/>
      <c r="F31" s="9"/>
    </row>
    <row r="32" spans="1:7" ht="18.75" x14ac:dyDescent="0.3">
      <c r="A32" s="32" t="s">
        <v>28</v>
      </c>
      <c r="B32" s="33"/>
      <c r="C32" s="33"/>
      <c r="D32" s="33"/>
      <c r="E32" s="34"/>
      <c r="F32" s="35"/>
    </row>
    <row r="33" spans="1:6" ht="15.75" x14ac:dyDescent="0.25">
      <c r="A33" s="16"/>
      <c r="B33" s="17" t="s">
        <v>29</v>
      </c>
      <c r="C33" s="18">
        <f>F28</f>
        <v>13056.000000000002</v>
      </c>
      <c r="D33" s="17" t="s">
        <v>30</v>
      </c>
      <c r="E33" s="18">
        <f>F23</f>
        <v>5227.9482867106899</v>
      </c>
      <c r="F33" s="19"/>
    </row>
    <row r="34" spans="1:6" ht="15.75" x14ac:dyDescent="0.25">
      <c r="A34" s="16"/>
      <c r="B34" s="17" t="s">
        <v>31</v>
      </c>
      <c r="C34" s="18">
        <f>SUM(F20:F21)</f>
        <v>18000</v>
      </c>
      <c r="D34" s="17" t="s">
        <v>32</v>
      </c>
      <c r="E34" s="18">
        <f>SUM(F18,F25)</f>
        <v>30020</v>
      </c>
      <c r="F34" s="19"/>
    </row>
    <row r="35" spans="1:6" ht="15.75" x14ac:dyDescent="0.25">
      <c r="A35" s="16"/>
      <c r="B35" s="17" t="s">
        <v>33</v>
      </c>
      <c r="C35" s="20">
        <f>SUM(C33:C34)</f>
        <v>31056</v>
      </c>
      <c r="D35" s="21" t="s">
        <v>34</v>
      </c>
      <c r="E35" s="22">
        <f>SUM(E33:E34)</f>
        <v>35247.948286710693</v>
      </c>
      <c r="F35" s="19"/>
    </row>
    <row r="36" spans="1:6" ht="15.75" x14ac:dyDescent="0.25">
      <c r="A36" s="16"/>
      <c r="B36" s="36" t="s">
        <v>35</v>
      </c>
      <c r="C36" s="36"/>
      <c r="D36" s="37">
        <f>C35-E35</f>
        <v>-4191.9482867106926</v>
      </c>
      <c r="E36" s="38"/>
      <c r="F36" s="19"/>
    </row>
    <row r="37" spans="1:6" ht="15.75" x14ac:dyDescent="0.25">
      <c r="B37" s="23"/>
      <c r="C37" s="24"/>
      <c r="D37" s="24"/>
      <c r="E37" s="24"/>
      <c r="F37" s="5"/>
    </row>
    <row r="38" spans="1:6" ht="66.75" customHeight="1" x14ac:dyDescent="0.25">
      <c r="A38" s="2" t="s">
        <v>36</v>
      </c>
      <c r="B38" s="39" t="s">
        <v>37</v>
      </c>
      <c r="C38" s="39"/>
      <c r="D38" s="39"/>
      <c r="E38" s="39"/>
      <c r="F38" s="39"/>
    </row>
    <row r="39" spans="1:6" ht="15.75" x14ac:dyDescent="0.25">
      <c r="A39" s="25"/>
      <c r="B39" s="25"/>
      <c r="C39" s="25"/>
      <c r="D39" s="25"/>
      <c r="E39" s="5"/>
      <c r="F39" s="5"/>
    </row>
    <row r="40" spans="1:6" ht="15.75" x14ac:dyDescent="0.25">
      <c r="A40" s="26"/>
      <c r="B40" s="26"/>
      <c r="C40" s="26"/>
      <c r="D40" s="26"/>
      <c r="E40" s="26"/>
      <c r="F40" s="26"/>
    </row>
    <row r="41" spans="1:6" ht="15.75" x14ac:dyDescent="0.25">
      <c r="A41" s="26"/>
      <c r="B41" s="26"/>
      <c r="C41" s="26"/>
      <c r="D41" s="26"/>
      <c r="E41" s="26"/>
      <c r="F41" s="26"/>
    </row>
    <row r="42" spans="1:6" ht="15.75" x14ac:dyDescent="0.25">
      <c r="A42" s="26"/>
      <c r="B42" s="26"/>
      <c r="C42" s="26"/>
      <c r="D42" s="26"/>
      <c r="E42" s="26"/>
      <c r="F42" s="26"/>
    </row>
    <row r="43" spans="1:6" ht="15.75" x14ac:dyDescent="0.25">
      <c r="A43" s="26"/>
      <c r="B43" s="26"/>
      <c r="C43" s="26"/>
      <c r="D43" s="26"/>
      <c r="E43" s="26"/>
      <c r="F43" s="26"/>
    </row>
  </sheetData>
  <mergeCells count="7">
    <mergeCell ref="B38:F38"/>
    <mergeCell ref="A1:F1"/>
    <mergeCell ref="A2:F2"/>
    <mergeCell ref="A3:F3"/>
    <mergeCell ref="A32:F32"/>
    <mergeCell ref="B36:C36"/>
    <mergeCell ref="D36:E36"/>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Dornford</dc:creator>
  <cp:lastModifiedBy>Owner</cp:lastModifiedBy>
  <dcterms:created xsi:type="dcterms:W3CDTF">2012-11-12T01:25:04Z</dcterms:created>
  <dcterms:modified xsi:type="dcterms:W3CDTF">2012-11-12T05:31:13Z</dcterms:modified>
</cp:coreProperties>
</file>