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codeName="ThisWorkbook"/>
  <mc:AlternateContent xmlns:mc="http://schemas.openxmlformats.org/markup-compatibility/2006">
    <mc:Choice Requires="x15">
      <x15ac:absPath xmlns:x15ac="http://schemas.microsoft.com/office/spreadsheetml/2010/11/ac" url="D:\working\waccache\TO1PEPF00002B0D\EXCELCNV\caec34d3-6c95-44db-85aa-e865c3395dda\"/>
    </mc:Choice>
  </mc:AlternateContent>
  <xr:revisionPtr revIDLastSave="0" documentId="8_{F43B4242-8F1B-43FE-8FDF-6CBC880449DC}" xr6:coauthVersionLast="47" xr6:coauthVersionMax="47" xr10:uidLastSave="{00000000-0000-0000-0000-000000000000}"/>
  <bookViews>
    <workbookView xWindow="-60" yWindow="-60" windowWidth="15480" windowHeight="11640" xr2:uid="{9A7F8E7E-2B0F-4686-878B-693BBA823FAD}"/>
  </bookViews>
  <sheets>
    <sheet name="1-304736-875000-875425" sheetId="1" r:id="rId1"/>
  </sheets>
  <definedNames>
    <definedName name="_Key1" hidden="1">'1-304736-875000-875425'!#REF!</definedName>
    <definedName name="_Key2" hidden="1">'1-304736-875000-875425'!#REF!</definedName>
    <definedName name="_Order1" hidden="1">255</definedName>
    <definedName name="_Order2" hidden="1">255</definedName>
    <definedName name="_Sort" hidden="1">'1-304736-875000-875425'!#REF!</definedName>
    <definedName name="Balance">'1-304736-875000-875425'!$I$88</definedName>
    <definedName name="_xlnm.Print_Area" localSheetId="0">'1-304736-875000-875425'!$A$1:$I$90</definedName>
    <definedName name="Print_Area_MI" localSheetId="0">'1-304736-875000-875425'!#REF!</definedName>
    <definedName name="_xlnm.Print_Titles" localSheetId="0">'1-304736-875000-875425'!$1:$3</definedName>
    <definedName name="Print_Titles_MI" localSheetId="0">'1-304736-875000-875425'!$1:$4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" l="1"/>
  <c r="C85" i="1"/>
  <c r="D84" i="1"/>
  <c r="K83" i="1"/>
  <c r="D67" i="1"/>
  <c r="H67" i="1"/>
  <c r="H83" i="1"/>
  <c r="H82" i="1"/>
  <c r="H79" i="1"/>
  <c r="H78" i="1"/>
  <c r="H77" i="1"/>
  <c r="H76" i="1"/>
  <c r="H75" i="1"/>
  <c r="H74" i="1"/>
  <c r="H73" i="1"/>
  <c r="H71" i="1"/>
  <c r="H70" i="1"/>
  <c r="H69" i="1"/>
  <c r="H68" i="1"/>
  <c r="H72" i="1"/>
  <c r="H81" i="1"/>
  <c r="H86" i="1"/>
  <c r="H52" i="1"/>
  <c r="H53" i="1"/>
  <c r="H54" i="1"/>
  <c r="H55" i="1"/>
  <c r="H56" i="1"/>
  <c r="H57" i="1"/>
  <c r="H58" i="1"/>
  <c r="D61" i="1"/>
  <c r="D50" i="1"/>
  <c r="H50" i="1"/>
  <c r="H63" i="1"/>
  <c r="H64" i="1"/>
  <c r="H65" i="1"/>
  <c r="H66" i="1"/>
  <c r="H51" i="1"/>
  <c r="H59" i="1"/>
  <c r="H60" i="1"/>
  <c r="H62" i="1"/>
  <c r="H41" i="1"/>
  <c r="H42" i="1"/>
  <c r="H43" i="1"/>
  <c r="H44" i="1"/>
  <c r="H45" i="1"/>
  <c r="H46" i="1"/>
  <c r="H47" i="1"/>
  <c r="H48" i="1"/>
  <c r="H40" i="1"/>
  <c r="K39" i="1"/>
  <c r="K34" i="1"/>
  <c r="K27" i="1"/>
  <c r="K22" i="1"/>
  <c r="D38" i="1"/>
  <c r="H38" i="1"/>
  <c r="D36" i="1"/>
  <c r="H36" i="1"/>
  <c r="D35" i="1"/>
  <c r="H35" i="1"/>
  <c r="D34" i="1"/>
  <c r="H34" i="1"/>
  <c r="D32" i="1"/>
  <c r="H32" i="1"/>
  <c r="D30" i="1"/>
  <c r="H30" i="1"/>
  <c r="D31" i="1"/>
  <c r="H31" i="1"/>
  <c r="D33" i="1"/>
  <c r="H33" i="1"/>
  <c r="D29" i="1"/>
  <c r="H29" i="1"/>
  <c r="D28" i="1"/>
  <c r="H28" i="1"/>
  <c r="H39" i="1"/>
  <c r="H37" i="1"/>
  <c r="D27" i="1"/>
  <c r="H27" i="1"/>
  <c r="D26" i="1"/>
  <c r="D25" i="1"/>
  <c r="H25" i="1"/>
  <c r="D24" i="1"/>
  <c r="D23" i="1"/>
  <c r="D20" i="1"/>
  <c r="H20" i="1"/>
  <c r="D16" i="1"/>
  <c r="H16" i="1"/>
  <c r="D21" i="1"/>
  <c r="H21" i="1"/>
  <c r="D17" i="1"/>
  <c r="H17" i="1"/>
  <c r="D19" i="1"/>
  <c r="H19" i="1"/>
  <c r="D15" i="1"/>
  <c r="H15" i="1"/>
  <c r="D14" i="1"/>
  <c r="H14" i="1"/>
  <c r="D13" i="1"/>
  <c r="H13" i="1"/>
  <c r="D18" i="1"/>
  <c r="H18" i="1"/>
  <c r="D22" i="1"/>
  <c r="H22" i="1"/>
  <c r="C26" i="1"/>
  <c r="C24" i="1"/>
  <c r="C23" i="1"/>
  <c r="K12" i="1"/>
  <c r="K11" i="1"/>
  <c r="K10" i="1"/>
  <c r="K8" i="1"/>
  <c r="D12" i="1"/>
  <c r="H12" i="1"/>
  <c r="J12" i="1"/>
  <c r="D11" i="1"/>
  <c r="H11" i="1"/>
  <c r="J11" i="1"/>
  <c r="D8" i="1"/>
  <c r="H8" i="1"/>
  <c r="D10" i="1"/>
  <c r="H10" i="1"/>
  <c r="J10" i="1"/>
  <c r="K9" i="1"/>
  <c r="D9" i="1"/>
  <c r="H9" i="1"/>
  <c r="J9" i="1"/>
  <c r="K7" i="1"/>
  <c r="H7" i="1"/>
  <c r="G88" i="1"/>
  <c r="H6" i="1"/>
  <c r="I5" i="1"/>
  <c r="H49" i="1"/>
  <c r="H8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H24" i="1"/>
  <c r="C88" i="1"/>
  <c r="E88" i="1"/>
  <c r="H80" i="1"/>
  <c r="J83" i="1"/>
  <c r="H61" i="1"/>
  <c r="J66" i="1"/>
  <c r="H26" i="1"/>
  <c r="J7" i="1"/>
  <c r="J48" i="1"/>
  <c r="J39" i="1"/>
  <c r="H23" i="1"/>
  <c r="J22" i="1"/>
  <c r="J8" i="1"/>
  <c r="J34" i="1"/>
  <c r="J27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D85" i="1" l="1"/>
  <c r="D88" i="1" l="1"/>
  <c r="H85" i="1"/>
  <c r="H88" i="1" l="1"/>
  <c r="I88" i="1" s="1"/>
  <c r="I85" i="1"/>
  <c r="I8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Sullan, Kelly J</author>
  </authors>
  <commentList>
    <comment ref="D3" authorId="0" shapeId="0" xr:uid="{D8351FA3-1013-41F5-98AA-61F08404578A}">
      <text>
        <r>
          <rPr>
            <b/>
            <sz val="9"/>
            <color indexed="81"/>
            <rFont val="Tahoma"/>
            <family val="2"/>
          </rPr>
          <t>FY25: .0030
workers' comp rate</t>
        </r>
      </text>
    </comment>
  </commentList>
</comments>
</file>

<file path=xl/sharedStrings.xml><?xml version="1.0" encoding="utf-8"?>
<sst xmlns="http://schemas.openxmlformats.org/spreadsheetml/2006/main" count="123" uniqueCount="122">
  <si>
    <t>McSWEENEY, KEVIN</t>
  </si>
  <si>
    <t>CULTIVATING INDIGENOUS GARDENS WITHIN THE SOUTHERN ARBORETUM WOODLANDS</t>
  </si>
  <si>
    <t>1-304736-875000-acctcd-875425</t>
  </si>
  <si>
    <t>SALARY &amp;</t>
  </si>
  <si>
    <t>FRINGE</t>
  </si>
  <si>
    <t>MATERIALS &amp;</t>
  </si>
  <si>
    <t>CONTRACTUAL</t>
  </si>
  <si>
    <t>TOTAL</t>
  </si>
  <si>
    <t>BALANCE</t>
  </si>
  <si>
    <t>SSC-INDIGENOUS GARDENS</t>
  </si>
  <si>
    <t>DATE</t>
  </si>
  <si>
    <t>WAGES</t>
  </si>
  <si>
    <t>BENEFITS</t>
  </si>
  <si>
    <t>SUPPLIES</t>
  </si>
  <si>
    <t>SERVICES</t>
  </si>
  <si>
    <t>AWARD</t>
  </si>
  <si>
    <t>EXPENSE</t>
  </si>
  <si>
    <t>AVAILABLE</t>
  </si>
  <si>
    <t>Please contact the NRES Business Office at nres-busofc@illinois.edu with any questions regarding this fund</t>
  </si>
  <si>
    <t>monthly totals</t>
  </si>
  <si>
    <t>reconciliation</t>
  </si>
  <si>
    <t>status</t>
  </si>
  <si>
    <t>BEGINNING BALANCE</t>
  </si>
  <si>
    <t>AWARD FROM SSC J3150048</t>
  </si>
  <si>
    <t>INV INC DIST - QTR:4 AR099499</t>
  </si>
  <si>
    <t>BALANCED @ 12/31/23</t>
  </si>
  <si>
    <r>
      <t xml:space="preserve">CRUZ GARCIA JUAN 24MN01 </t>
    </r>
    <r>
      <rPr>
        <b/>
        <sz val="12"/>
        <rFont val="Arial"/>
        <family val="2"/>
      </rPr>
      <t>01/02</t>
    </r>
    <r>
      <rPr>
        <sz val="12"/>
        <rFont val="Arial"/>
        <family val="2"/>
      </rPr>
      <t xml:space="preserve"> - 01/15/24</t>
    </r>
  </si>
  <si>
    <t>BALANCED @ 01/31/24</t>
  </si>
  <si>
    <t>CRUZ GARCIA JUAN 24MN02 01/16 - 02/15/24</t>
  </si>
  <si>
    <t>BALANCED @ 02/29/24</t>
  </si>
  <si>
    <t>CRUZ GARCIA JUAN 24MN03 02/16 - 03/15/24</t>
  </si>
  <si>
    <t>BALANCED @ 03/31/24</t>
  </si>
  <si>
    <t>CRUZ GARCIA JUAN 24MN04 03/16 - 04/15/24</t>
  </si>
  <si>
    <t>BALANCED @ 04/30/24</t>
  </si>
  <si>
    <t>CRUZ GARCIA JUAN 24MN05 04/16 - 05/15/24</t>
  </si>
  <si>
    <t>BALANCED @ 05/31/24</t>
  </si>
  <si>
    <t>CRUZ GARCIA JUAN 24MN06 05/16 - 06/15/24</t>
  </si>
  <si>
    <t>CRUZ GARCIA JUAN 24MN07 06/16 - 06/30/24</t>
  </si>
  <si>
    <t>McSWIGGAN KIERNAN 24BW12 05/12 - 05/25/24</t>
  </si>
  <si>
    <t>McSWIGGAN KIERNAN 24BW13 05/26 - 06/08/24</t>
  </si>
  <si>
    <t>McSWIGGAN KIERNAN 24BW14 06/09 - 06/22/24</t>
  </si>
  <si>
    <t>McSWIGGAN KIERNAN 24BW15 06/23 - 06/30/24</t>
  </si>
  <si>
    <t>WHITE RILEY 24BW12 05/12 - 05/25/24</t>
  </si>
  <si>
    <t>WHITE RILEY 24BW13 05/26 - 06/08/24</t>
  </si>
  <si>
    <t>WHITE RILEY 24BW14 06/09 - 06/22/24</t>
  </si>
  <si>
    <t>WHITE RILEY 24BW15 06/23 - 06/30/24</t>
  </si>
  <si>
    <t>BALANCED @ 06/30/24</t>
  </si>
  <si>
    <t>CRUZ GARCIA JUAN 24MN07 07/01 - 07/15/24</t>
  </si>
  <si>
    <t>McSWIGGAN KIERNAN 24BW15 07/01 - 07/06/24</t>
  </si>
  <si>
    <t>McSWIGGAN KIERNAN 24BW16 07/07 - 07/20/24</t>
  </si>
  <si>
    <t>WHITE RILEY 24BW15 07/01 - 07/06/24</t>
  </si>
  <si>
    <t>WHITE RILEY 24BW16 07/07 - 07/20/2024</t>
  </si>
  <si>
    <t>BALANCED @ 07/31/24</t>
  </si>
  <si>
    <t>CRUZ GARCIA JUAN 24MN08 07/16 - 08/15/24</t>
  </si>
  <si>
    <t>McSWIGGAN KIERNAN 24BW17 07/21 - 08/03/24</t>
  </si>
  <si>
    <t>McSWIGGAN KIERNAN 24BW18 08/04 - 08/17/24</t>
  </si>
  <si>
    <t>ROBINSON JOSHUA 24BW17 07/21 - 08/03/24</t>
  </si>
  <si>
    <t>ROBINSON JOSHUA 24BW18 08/04 - 08/17/24</t>
  </si>
  <si>
    <t>WHITE RILEY 24BW17 07/21 - 08/03/24</t>
  </si>
  <si>
    <t>WHITE RILEY 24BW18 08/04 - 08/17/24</t>
  </si>
  <si>
    <t>BALANCED @ 08/31/24</t>
  </si>
  <si>
    <t>CRUZ GARCIA JUAN 24MN09 08/16 - 09/15/24</t>
  </si>
  <si>
    <t>McSWIGGAN KIERNAN 24BW19 08/18 - 08/31/24</t>
  </si>
  <si>
    <t>McSWIGGAN KIERNAN 24BW20 09/01 - 09/14/24</t>
  </si>
  <si>
    <t>WHITE RILEY 24BW19 08/18 - 08/31/24</t>
  </si>
  <si>
    <t>WHITE RILEY 24BW20 09/01 - 09/14/24</t>
  </si>
  <si>
    <t>BALANCED @ 09/30/24</t>
  </si>
  <si>
    <t>CRUZ GARCIA JUAN 24MN10 09/16 - 10/15/24</t>
  </si>
  <si>
    <t>IC14-UIUC WORKERS COMP - AUX AI088122</t>
  </si>
  <si>
    <t>IC14-UIUC WORKERS COMP - AUX AI088223</t>
  </si>
  <si>
    <t>IC14-UIUC WORKERS COMP - AUX AI088345</t>
  </si>
  <si>
    <t>McSWIGGAN KIERNAN 24BW21 09/15 - 09/28/24</t>
  </si>
  <si>
    <t>McSWIGGAN KIERNAN 24BW22 09/29 - 10/12/24</t>
  </si>
  <si>
    <t>ROBINSON JOSHUA 24BW22 09/29 - 10/12/24</t>
  </si>
  <si>
    <t>WHITE RILEY 24BW21 09/15 - 09/28/24</t>
  </si>
  <si>
    <t>WHITE RILEY 24BW22 09/29 - 10/12/24</t>
  </si>
  <si>
    <t>BALANCED @ 10/31/24</t>
  </si>
  <si>
    <t>CRUZ GARCIA JUAN 24MN11 10/16 - 11/15/24</t>
  </si>
  <si>
    <t>HASKINS AMELIA 24BW23 10/13 - 10/26/24</t>
  </si>
  <si>
    <t>HASKINS AMELIA 24BW24 10/27 - 11/09/24</t>
  </si>
  <si>
    <t>IC14-UIUC WORKERS COMP - AUX AI088627</t>
  </si>
  <si>
    <t>IC14-UIUC WORKERS COMP - AUX AI088676</t>
  </si>
  <si>
    <t>IC14-UIUC WORKERS COMP - AUX AI088697</t>
  </si>
  <si>
    <t>IC14-UIUC WORKERS COMP - AUX AI088788</t>
  </si>
  <si>
    <t>IC14-UIUC WORKERS COMP - AUX AI088811</t>
  </si>
  <si>
    <t>LUDOLPH JOSHUA 24BW23 10/13 - 10/26/24</t>
  </si>
  <si>
    <t>LUDOLPH JOSHUA 24BW24 10/27 - 11/09/24</t>
  </si>
  <si>
    <t>McSWIGGAN KIERNAN 24BW23 10/13 - 10/26/24</t>
  </si>
  <si>
    <t>McSWIGGAN KIERNAN 24BW24 10/27 - 11/09/24</t>
  </si>
  <si>
    <t>PACHURA PATRYK 24BW23 10/13 - 10/26/24</t>
  </si>
  <si>
    <t>PACHURA PATRYK 24BW24 10/27 - 11/09/24</t>
  </si>
  <si>
    <t>ROBINSON JOSHUA 24BW23 10/13 - 10/26/24</t>
  </si>
  <si>
    <t>ROBINSON JOSHUA 24BW24 10/27 - 11/09/24</t>
  </si>
  <si>
    <t>WHITE RILEY 24BW23 10/13 - 10/26/24</t>
  </si>
  <si>
    <t>WHITE RILEY 24BW24 10/27 - 11/09/24</t>
  </si>
  <si>
    <t>BALANCED @ 11/30/24</t>
  </si>
  <si>
    <t>CRUZ GARCIA JUAN 24MN12 11/16 - 12/15/24</t>
  </si>
  <si>
    <t>HASKINS AMELIA 24BW25 11/10 - 11/23/24</t>
  </si>
  <si>
    <t>HASKINS AMELIA 24BW26 11/24 - 12/07/24</t>
  </si>
  <si>
    <t>HASKINS AMELIA 24BW27 12/08 - 12/21/24</t>
  </si>
  <si>
    <t>LUDOLPH JOSHUA 24BW25 11/10 - 11/23/24</t>
  </si>
  <si>
    <t>LUDOLPH JOSHUA 24BW26 11/24 - 12/07/24</t>
  </si>
  <si>
    <t>LUDOLPH JOSHUA 24BW27 12/08 - 12/21/24</t>
  </si>
  <si>
    <t>McSWIGGAN KIERNAN 24BW25 11/10 - 11/23/24</t>
  </si>
  <si>
    <t>McSWIGGAN KIERNAN 24BW26 11/24 - 12/07/24</t>
  </si>
  <si>
    <t>PACHURA PATRYK 24BW25 11/10 - 11/23/24</t>
  </si>
  <si>
    <t>PACHURA PATRYK 24BW26 11/24 - 12/07/24</t>
  </si>
  <si>
    <t>ROBINSON JOSHUA 24BW25 11/10 - 11/23/24</t>
  </si>
  <si>
    <t>ROBINSON JOSHUA 24BW26 11/24 - 12/07/24</t>
  </si>
  <si>
    <t>ROBINSON JOSHUA 24BW27 12/08 - 12/21/24</t>
  </si>
  <si>
    <t>WHITE RILEY 24BW25 11/10 - 11/23/24</t>
  </si>
  <si>
    <t>WHITE RILEY 24BW26 11/24 - 12/07/24</t>
  </si>
  <si>
    <t>WHITE RILEY 24BW27 12/08 - 12/21/24</t>
  </si>
  <si>
    <t>BALANCED @ 12/31/24</t>
  </si>
  <si>
    <t>CRUZ GARCIA JUAN 25MN01 12/16/24 - 01/15/25</t>
  </si>
  <si>
    <t>OB/01</t>
  </si>
  <si>
    <t>CRUZ GARCIA JUAN 01/16 - 06/30/25</t>
  </si>
  <si>
    <t>new appointment funding source needed as of 05/01/25</t>
  </si>
  <si>
    <t>KEMPER INDUSTRIAL EQUIPMENT P2714937 I</t>
  </si>
  <si>
    <t>OB/05</t>
  </si>
  <si>
    <t>SUBTOTAL</t>
  </si>
  <si>
    <t>FINAL REPORT DUE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</si>
</sst>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;[Red]\-0.00_)"/>
    <numFmt numFmtId="165" formatCode="mm/yy"/>
    <numFmt numFmtId="166" formatCode="0.00_);[Red]\(0.00\)"/>
    <numFmt numFmtId="167" formatCode="0.00_)"/>
  </numFmts>
  <fonts count="13">
    <font>
      <sz val="12"/>
      <name val="Arial"/>
    </font>
    <font>
      <sz val="12"/>
      <name val="Arial"/>
      <family val="2"/>
    </font>
    <font>
      <sz val="8"/>
      <color indexed="17"/>
      <name val="Arial"/>
      <family val="2"/>
    </font>
    <font>
      <b/>
      <i/>
      <sz val="12"/>
      <color indexed="10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color indexed="17"/>
      <name val="Arial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b/>
      <sz val="8"/>
      <color rgb="FFFF0000"/>
      <name val="Arial"/>
      <family val="2"/>
    </font>
    <font>
      <b/>
      <sz val="18"/>
      <color rgb="FF003399"/>
      <name val="Arial"/>
      <family val="2"/>
    </font>
    <font>
      <sz val="18"/>
      <color rgb="FF0033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99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164" fontId="0" fillId="0" borderId="0"/>
    <xf numFmtId="164" fontId="1" fillId="0" borderId="0"/>
  </cellStyleXfs>
  <cellXfs count="29">
    <xf numFmtId="164" fontId="0" fillId="0" borderId="0" xfId="0"/>
    <xf numFmtId="165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2" fillId="0" borderId="0" xfId="0" applyNumberFormat="1" applyFont="1"/>
    <xf numFmtId="164" fontId="1" fillId="0" borderId="0" xfId="0" applyFont="1"/>
    <xf numFmtId="166" fontId="1" fillId="0" borderId="0" xfId="0" applyNumberFormat="1" applyFont="1"/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6" fontId="4" fillId="0" borderId="0" xfId="0" applyNumberFormat="1" applyFont="1"/>
    <xf numFmtId="164" fontId="1" fillId="0" borderId="0" xfId="0" applyFont="1" applyAlignment="1">
      <alignment horizontal="left"/>
    </xf>
    <xf numFmtId="164" fontId="5" fillId="0" borderId="0" xfId="0" applyFont="1" applyAlignment="1">
      <alignment vertical="center"/>
    </xf>
    <xf numFmtId="166" fontId="0" fillId="0" borderId="0" xfId="0" applyNumberFormat="1" applyAlignment="1">
      <alignment horizontal="right"/>
    </xf>
    <xf numFmtId="164" fontId="1" fillId="0" borderId="0" xfId="1"/>
    <xf numFmtId="40" fontId="6" fillId="0" borderId="0" xfId="0" applyNumberFormat="1" applyFont="1" applyAlignment="1">
      <alignment horizontal="right"/>
    </xf>
    <xf numFmtId="164" fontId="6" fillId="0" borderId="0" xfId="0" applyFont="1"/>
    <xf numFmtId="40" fontId="6" fillId="0" borderId="0" xfId="0" applyNumberFormat="1" applyFont="1" applyAlignment="1">
      <alignment horizontal="center"/>
    </xf>
    <xf numFmtId="164" fontId="6" fillId="0" borderId="0" xfId="0" applyFont="1" applyAlignment="1">
      <alignment horizontal="center"/>
    </xf>
    <xf numFmtId="164" fontId="6" fillId="0" borderId="0" xfId="0" applyFont="1" applyAlignment="1">
      <alignment horizontal="left"/>
    </xf>
    <xf numFmtId="167" fontId="1" fillId="0" borderId="0" xfId="0" applyNumberFormat="1" applyFont="1"/>
    <xf numFmtId="166" fontId="3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center"/>
    </xf>
    <xf numFmtId="164" fontId="9" fillId="0" borderId="0" xfId="0" applyFont="1"/>
    <xf numFmtId="166" fontId="8" fillId="0" borderId="0" xfId="0" applyNumberFormat="1" applyFont="1"/>
    <xf numFmtId="166" fontId="10" fillId="0" borderId="0" xfId="0" applyNumberFormat="1" applyFont="1" applyAlignment="1">
      <alignment horizontal="left"/>
    </xf>
    <xf numFmtId="164" fontId="3" fillId="2" borderId="1" xfId="0" applyFont="1" applyFill="1" applyBorder="1" applyAlignment="1">
      <alignment horizontal="center"/>
    </xf>
    <xf numFmtId="164" fontId="11" fillId="3" borderId="0" xfId="0" applyFont="1" applyFill="1" applyAlignment="1">
      <alignment horizontal="center"/>
    </xf>
    <xf numFmtId="164" fontId="12" fillId="3" borderId="0" xfId="0" applyFont="1" applyFill="1" applyAlignment="1">
      <alignment horizontal="center"/>
    </xf>
  </cellXfs>
  <cellStyles count="2">
    <cellStyle name="Normal" xfId="0" builtinId="0"/>
    <cellStyle name="Normal 3" xfId="1" xr:uid="{AA064B7F-D606-4B38-A3C6-2CB3F86E26E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90</xdr:row>
      <xdr:rowOff>180975</xdr:rowOff>
    </xdr:from>
    <xdr:to>
      <xdr:col>10</xdr:col>
      <xdr:colOff>0</xdr:colOff>
      <xdr:row>127</xdr:row>
      <xdr:rowOff>95250</xdr:rowOff>
    </xdr:to>
    <xdr:pic>
      <xdr:nvPicPr>
        <xdr:cNvPr id="1098" name="Picture 1">
          <a:extLst>
            <a:ext uri="{FF2B5EF4-FFF2-40B4-BE49-F238E27FC236}">
              <a16:creationId xmlns:a16="http://schemas.microsoft.com/office/drawing/2014/main" id="{38D2F122-48C6-E221-7E74-D9CA2EE0D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468850"/>
          <a:ext cx="15354300" cy="696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E2A6-E098-4AF2-8479-8BF5BEEA8E62}">
  <sheetPr transitionEvaluation="1" codeName="Sheet1">
    <pageSetUpPr fitToPage="1"/>
  </sheetPr>
  <dimension ref="A1:L117"/>
  <sheetViews>
    <sheetView tabSelected="1" defaultGridColor="0" colorId="22" zoomScaleNormal="100" workbookViewId="0">
      <pane ySplit="4" topLeftCell="A95" activePane="bottomLeft" state="frozen"/>
      <selection pane="bottomLeft" activeCell="E80" sqref="E80"/>
    </sheetView>
  </sheetViews>
  <sheetFormatPr defaultColWidth="9.88671875" defaultRowHeight="15"/>
  <cols>
    <col min="1" max="1" width="50.5546875" customWidth="1"/>
    <col min="2" max="2" width="6.88671875" style="1" customWidth="1"/>
    <col min="3" max="7" width="15.88671875" style="3" customWidth="1"/>
    <col min="8" max="8" width="15.88671875" style="13" customWidth="1"/>
    <col min="9" max="9" width="15.88671875" style="3" customWidth="1"/>
    <col min="10" max="10" width="12" style="15" bestFit="1" customWidth="1"/>
    <col min="11" max="11" width="11.44140625" style="15" bestFit="1" customWidth="1"/>
    <col min="12" max="12" width="20.5546875" style="16" bestFit="1" customWidth="1"/>
  </cols>
  <sheetData>
    <row r="1" spans="1:12" ht="15.75">
      <c r="A1" s="6" t="s">
        <v>0</v>
      </c>
      <c r="B1" s="12" t="s">
        <v>1</v>
      </c>
      <c r="C1" s="10"/>
      <c r="D1" s="10"/>
      <c r="E1" s="24"/>
      <c r="F1" s="10"/>
    </row>
    <row r="2" spans="1:12">
      <c r="A2" s="6" t="s">
        <v>2</v>
      </c>
      <c r="B2" s="9"/>
      <c r="C2" s="4" t="s">
        <v>3</v>
      </c>
      <c r="D2" s="4" t="s">
        <v>4</v>
      </c>
      <c r="E2" s="4" t="s">
        <v>5</v>
      </c>
      <c r="F2" s="4" t="s">
        <v>6</v>
      </c>
      <c r="G2" s="4"/>
      <c r="H2" s="4" t="s">
        <v>7</v>
      </c>
      <c r="I2" s="4" t="s">
        <v>8</v>
      </c>
    </row>
    <row r="3" spans="1:12" ht="15.75" thickBot="1">
      <c r="A3" s="6" t="s">
        <v>9</v>
      </c>
      <c r="B3" s="9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17</v>
      </c>
    </row>
    <row r="4" spans="1:12" ht="15.75" thickBot="1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17" t="s">
        <v>19</v>
      </c>
      <c r="K4" s="15" t="s">
        <v>20</v>
      </c>
      <c r="L4" s="18" t="s">
        <v>21</v>
      </c>
    </row>
    <row r="5" spans="1:12">
      <c r="A5" s="11" t="s">
        <v>22</v>
      </c>
      <c r="B5" s="9"/>
      <c r="C5" s="8"/>
      <c r="D5" s="8"/>
      <c r="E5" s="8"/>
      <c r="F5" s="8"/>
      <c r="G5" s="8"/>
      <c r="H5" s="21"/>
      <c r="I5" s="8">
        <f>SUM(C5:H5)</f>
        <v>0</v>
      </c>
    </row>
    <row r="6" spans="1:12">
      <c r="A6" s="14" t="s">
        <v>23</v>
      </c>
      <c r="B6" s="22">
        <v>45100</v>
      </c>
      <c r="C6" s="7"/>
      <c r="D6" s="8"/>
      <c r="E6" s="8"/>
      <c r="F6" s="8"/>
      <c r="G6" s="7">
        <v>149320</v>
      </c>
      <c r="H6" s="8">
        <f t="shared" ref="H6:H12" si="0">SUM(C6:F6)</f>
        <v>0</v>
      </c>
      <c r="I6" s="8">
        <f t="shared" ref="I6:I39" si="1">I5+G6-H6</f>
        <v>149320</v>
      </c>
      <c r="L6" s="23"/>
    </row>
    <row r="7" spans="1:12">
      <c r="A7" s="14" t="s">
        <v>24</v>
      </c>
      <c r="B7" s="22">
        <v>45107</v>
      </c>
      <c r="C7" s="7"/>
      <c r="D7" s="8"/>
      <c r="E7" s="8"/>
      <c r="F7" s="8"/>
      <c r="G7" s="7">
        <v>314.63</v>
      </c>
      <c r="H7" s="8">
        <f t="shared" si="0"/>
        <v>0</v>
      </c>
      <c r="I7" s="8">
        <f t="shared" si="1"/>
        <v>149634.63</v>
      </c>
      <c r="J7" s="15">
        <f>SUM(H6:H7)</f>
        <v>0</v>
      </c>
      <c r="K7" s="15">
        <f>149634.63</f>
        <v>149634.63</v>
      </c>
      <c r="L7" s="23" t="s">
        <v>25</v>
      </c>
    </row>
    <row r="8" spans="1:12" ht="15.75">
      <c r="A8" s="14" t="s">
        <v>26</v>
      </c>
      <c r="B8" s="22">
        <v>45322</v>
      </c>
      <c r="C8" s="7">
        <v>1555.56</v>
      </c>
      <c r="D8" s="8">
        <f>22.56+5.44</f>
        <v>28</v>
      </c>
      <c r="E8" s="8"/>
      <c r="F8" s="8"/>
      <c r="G8" s="7"/>
      <c r="H8" s="8">
        <f t="shared" si="0"/>
        <v>1583.56</v>
      </c>
      <c r="I8" s="8">
        <f t="shared" si="1"/>
        <v>148051.07</v>
      </c>
      <c r="J8" s="15">
        <f>H8</f>
        <v>1583.56</v>
      </c>
      <c r="K8" s="15">
        <f>148051.07-0</f>
        <v>148051.07</v>
      </c>
      <c r="L8" s="23" t="s">
        <v>27</v>
      </c>
    </row>
    <row r="9" spans="1:12">
      <c r="A9" s="14" t="s">
        <v>28</v>
      </c>
      <c r="B9" s="22">
        <v>45351</v>
      </c>
      <c r="C9" s="7">
        <v>3266.67</v>
      </c>
      <c r="D9" s="8">
        <f>45.69+11.44</f>
        <v>57.129999999999995</v>
      </c>
      <c r="E9" s="8"/>
      <c r="F9" s="8"/>
      <c r="G9" s="7"/>
      <c r="H9" s="8">
        <f t="shared" si="0"/>
        <v>3323.8</v>
      </c>
      <c r="I9" s="8">
        <f t="shared" si="1"/>
        <v>144727.27000000002</v>
      </c>
      <c r="J9" s="15">
        <f>H9</f>
        <v>3323.8</v>
      </c>
      <c r="K9" s="15">
        <f>144727.27</f>
        <v>144727.26999999999</v>
      </c>
      <c r="L9" s="23" t="s">
        <v>29</v>
      </c>
    </row>
    <row r="10" spans="1:12">
      <c r="A10" s="14" t="s">
        <v>30</v>
      </c>
      <c r="B10" s="22">
        <v>45382</v>
      </c>
      <c r="C10" s="7">
        <v>3266.67</v>
      </c>
      <c r="D10" s="8">
        <f>45.68+11.43</f>
        <v>57.11</v>
      </c>
      <c r="E10" s="8"/>
      <c r="F10" s="8"/>
      <c r="G10" s="7"/>
      <c r="H10" s="8">
        <f t="shared" si="0"/>
        <v>3323.78</v>
      </c>
      <c r="I10" s="8">
        <f t="shared" si="1"/>
        <v>141403.49000000002</v>
      </c>
      <c r="J10" s="15">
        <f>H10</f>
        <v>3323.78</v>
      </c>
      <c r="K10" s="15">
        <f>141403.49-0</f>
        <v>141403.49</v>
      </c>
      <c r="L10" s="23" t="s">
        <v>31</v>
      </c>
    </row>
    <row r="11" spans="1:12">
      <c r="A11" s="14" t="s">
        <v>32</v>
      </c>
      <c r="B11" s="22">
        <v>45412</v>
      </c>
      <c r="C11" s="7">
        <v>3266.67</v>
      </c>
      <c r="D11" s="8">
        <f>45.69+11.43</f>
        <v>57.12</v>
      </c>
      <c r="E11" s="8"/>
      <c r="F11" s="8"/>
      <c r="G11" s="7"/>
      <c r="H11" s="8">
        <f t="shared" si="0"/>
        <v>3323.79</v>
      </c>
      <c r="I11" s="8">
        <f t="shared" si="1"/>
        <v>138079.70000000001</v>
      </c>
      <c r="J11" s="15">
        <f>H11</f>
        <v>3323.79</v>
      </c>
      <c r="K11" s="15">
        <f>138079.7-0</f>
        <v>138079.70000000001</v>
      </c>
      <c r="L11" s="23" t="s">
        <v>33</v>
      </c>
    </row>
    <row r="12" spans="1:12">
      <c r="A12" s="14" t="s">
        <v>34</v>
      </c>
      <c r="B12" s="22">
        <v>45443</v>
      </c>
      <c r="C12" s="7">
        <v>3266.67</v>
      </c>
      <c r="D12" s="8">
        <f>45.68+11.44</f>
        <v>57.12</v>
      </c>
      <c r="E12" s="8"/>
      <c r="F12" s="8"/>
      <c r="G12" s="7"/>
      <c r="H12" s="8">
        <f t="shared" si="0"/>
        <v>3323.79</v>
      </c>
      <c r="I12" s="8">
        <f t="shared" si="1"/>
        <v>134755.91</v>
      </c>
      <c r="J12" s="15">
        <f>H12</f>
        <v>3323.79</v>
      </c>
      <c r="K12" s="15">
        <f>134755.91</f>
        <v>134755.91</v>
      </c>
      <c r="L12" s="23" t="s">
        <v>35</v>
      </c>
    </row>
    <row r="13" spans="1:12">
      <c r="A13" s="14" t="s">
        <v>36</v>
      </c>
      <c r="B13" s="22">
        <v>45473</v>
      </c>
      <c r="C13" s="7">
        <v>3266.67</v>
      </c>
      <c r="D13" s="8">
        <f>45.69+11.44</f>
        <v>57.129999999999995</v>
      </c>
      <c r="E13" s="8"/>
      <c r="F13" s="8"/>
      <c r="G13" s="7"/>
      <c r="H13" s="8">
        <f t="shared" ref="H13:H22" si="2">SUM(C13:F13)</f>
        <v>3323.8</v>
      </c>
      <c r="I13" s="8">
        <f t="shared" ref="I13:I22" si="3">I12+G13-H13</f>
        <v>131432.11000000002</v>
      </c>
      <c r="L13" s="23"/>
    </row>
    <row r="14" spans="1:12">
      <c r="A14" s="14" t="s">
        <v>37</v>
      </c>
      <c r="B14" s="22">
        <v>45473</v>
      </c>
      <c r="C14" s="7">
        <v>1555.56</v>
      </c>
      <c r="D14" s="8">
        <f>21.7+5.44</f>
        <v>27.14</v>
      </c>
      <c r="E14" s="8"/>
      <c r="F14" s="8"/>
      <c r="G14" s="7"/>
      <c r="H14" s="8">
        <f t="shared" si="2"/>
        <v>1582.7</v>
      </c>
      <c r="I14" s="8">
        <f t="shared" si="3"/>
        <v>129849.41000000002</v>
      </c>
      <c r="L14" s="23"/>
    </row>
    <row r="15" spans="1:12">
      <c r="A15" s="14" t="s">
        <v>38</v>
      </c>
      <c r="B15" s="22">
        <v>45473</v>
      </c>
      <c r="C15" s="7">
        <v>1178</v>
      </c>
      <c r="D15" s="8">
        <f>73.04+17.08+4.12</f>
        <v>94.240000000000009</v>
      </c>
      <c r="E15" s="8"/>
      <c r="F15" s="8"/>
      <c r="G15" s="7"/>
      <c r="H15" s="8">
        <f t="shared" si="2"/>
        <v>1272.24</v>
      </c>
      <c r="I15" s="8">
        <f t="shared" si="3"/>
        <v>128577.17000000001</v>
      </c>
      <c r="L15" s="23"/>
    </row>
    <row r="16" spans="1:12">
      <c r="A16" s="14" t="s">
        <v>39</v>
      </c>
      <c r="B16" s="22">
        <v>45473</v>
      </c>
      <c r="C16" s="7">
        <v>992</v>
      </c>
      <c r="D16" s="8">
        <f>61.5+14.39+3.47</f>
        <v>79.36</v>
      </c>
      <c r="E16" s="8"/>
      <c r="F16" s="8"/>
      <c r="G16" s="7"/>
      <c r="H16" s="8">
        <f t="shared" si="2"/>
        <v>1071.3599999999999</v>
      </c>
      <c r="I16" s="8">
        <f t="shared" si="3"/>
        <v>127505.81000000001</v>
      </c>
      <c r="L16" s="23"/>
    </row>
    <row r="17" spans="1:12">
      <c r="A17" s="14" t="s">
        <v>40</v>
      </c>
      <c r="B17" s="22">
        <v>45473</v>
      </c>
      <c r="C17" s="7">
        <v>868</v>
      </c>
      <c r="D17" s="8">
        <f>53.82+12.58+3.04</f>
        <v>69.440000000000012</v>
      </c>
      <c r="E17" s="8"/>
      <c r="F17" s="8"/>
      <c r="G17" s="7"/>
      <c r="H17" s="8">
        <f t="shared" si="2"/>
        <v>937.44</v>
      </c>
      <c r="I17" s="8">
        <f t="shared" si="3"/>
        <v>126568.37000000001</v>
      </c>
      <c r="L17" s="23"/>
    </row>
    <row r="18" spans="1:12">
      <c r="A18" s="14" t="s">
        <v>41</v>
      </c>
      <c r="B18" s="22">
        <v>45473</v>
      </c>
      <c r="C18" s="7">
        <v>620</v>
      </c>
      <c r="D18" s="8">
        <f>38.44+8.99+2.17</f>
        <v>49.6</v>
      </c>
      <c r="E18" s="8"/>
      <c r="F18" s="8"/>
      <c r="G18" s="7"/>
      <c r="H18" s="8">
        <f t="shared" si="2"/>
        <v>669.6</v>
      </c>
      <c r="I18" s="8">
        <f t="shared" si="3"/>
        <v>125898.77</v>
      </c>
      <c r="L18" s="23"/>
    </row>
    <row r="19" spans="1:12">
      <c r="A19" s="14" t="s">
        <v>42</v>
      </c>
      <c r="B19" s="22">
        <v>45473</v>
      </c>
      <c r="C19" s="7">
        <v>1100.5</v>
      </c>
      <c r="D19" s="8">
        <f>68.23+15.96+3.85</f>
        <v>88.039999999999992</v>
      </c>
      <c r="E19" s="8"/>
      <c r="F19" s="8"/>
      <c r="G19" s="7"/>
      <c r="H19" s="8">
        <f t="shared" si="2"/>
        <v>1188.54</v>
      </c>
      <c r="I19" s="8">
        <f t="shared" si="3"/>
        <v>124710.23000000001</v>
      </c>
      <c r="L19" s="23"/>
    </row>
    <row r="20" spans="1:12">
      <c r="A20" s="14" t="s">
        <v>43</v>
      </c>
      <c r="B20" s="22">
        <v>45473</v>
      </c>
      <c r="C20" s="7">
        <v>1116</v>
      </c>
      <c r="D20" s="8">
        <f>69.19+16.18+3.9</f>
        <v>89.27000000000001</v>
      </c>
      <c r="E20" s="8"/>
      <c r="F20" s="8"/>
      <c r="G20" s="7"/>
      <c r="H20" s="8">
        <f t="shared" si="2"/>
        <v>1205.27</v>
      </c>
      <c r="I20" s="8">
        <f t="shared" si="3"/>
        <v>123504.96000000001</v>
      </c>
      <c r="L20" s="23"/>
    </row>
    <row r="21" spans="1:12">
      <c r="A21" s="14" t="s">
        <v>44</v>
      </c>
      <c r="B21" s="22">
        <v>45473</v>
      </c>
      <c r="C21" s="7">
        <v>1089.6500000000001</v>
      </c>
      <c r="D21" s="8">
        <f>67.56+15.8+3.82</f>
        <v>87.179999999999993</v>
      </c>
      <c r="E21" s="8"/>
      <c r="F21" s="8"/>
      <c r="G21" s="7"/>
      <c r="H21" s="8">
        <f t="shared" si="2"/>
        <v>1176.8300000000002</v>
      </c>
      <c r="I21" s="8">
        <f t="shared" si="3"/>
        <v>122328.13</v>
      </c>
      <c r="L21" s="23"/>
    </row>
    <row r="22" spans="1:12">
      <c r="A22" s="14" t="s">
        <v>45</v>
      </c>
      <c r="B22" s="22">
        <v>45473</v>
      </c>
      <c r="C22" s="7">
        <v>620</v>
      </c>
      <c r="D22" s="8">
        <f>38.44+8.99+2.17</f>
        <v>49.6</v>
      </c>
      <c r="E22" s="8"/>
      <c r="F22" s="8"/>
      <c r="G22" s="7"/>
      <c r="H22" s="8">
        <f t="shared" si="2"/>
        <v>669.6</v>
      </c>
      <c r="I22" s="8">
        <f t="shared" si="3"/>
        <v>121658.53</v>
      </c>
      <c r="J22" s="15">
        <f>SUM(H13:H22)</f>
        <v>13097.380000000001</v>
      </c>
      <c r="K22" s="15">
        <f>121658.53</f>
        <v>121658.53</v>
      </c>
      <c r="L22" s="23" t="s">
        <v>46</v>
      </c>
    </row>
    <row r="23" spans="1:12">
      <c r="A23" s="14" t="s">
        <v>47</v>
      </c>
      <c r="B23" s="22">
        <v>45504</v>
      </c>
      <c r="C23" s="7">
        <f>3266.68-1555.56</f>
        <v>1711.12</v>
      </c>
      <c r="D23" s="8">
        <f>23.87+5.13</f>
        <v>29</v>
      </c>
      <c r="E23" s="8"/>
      <c r="F23" s="8"/>
      <c r="G23" s="7"/>
      <c r="H23" s="8">
        <f t="shared" ref="H23:H39" si="4">SUM(C23:F23)</f>
        <v>1740.12</v>
      </c>
      <c r="I23" s="8">
        <f t="shared" si="1"/>
        <v>119918.41</v>
      </c>
      <c r="L23" s="23"/>
    </row>
    <row r="24" spans="1:12">
      <c r="A24" s="14" t="s">
        <v>48</v>
      </c>
      <c r="B24" s="22">
        <v>45504</v>
      </c>
      <c r="C24" s="7">
        <f>1038.5-620</f>
        <v>418.5</v>
      </c>
      <c r="D24" s="8">
        <f>25.94+6.07+1.25</f>
        <v>33.260000000000005</v>
      </c>
      <c r="E24" s="8"/>
      <c r="F24" s="8"/>
      <c r="G24" s="7"/>
      <c r="H24" s="8">
        <f t="shared" si="4"/>
        <v>451.76</v>
      </c>
      <c r="I24" s="8">
        <f t="shared" si="1"/>
        <v>119466.65000000001</v>
      </c>
      <c r="L24" s="23"/>
    </row>
    <row r="25" spans="1:12">
      <c r="A25" s="14" t="s">
        <v>49</v>
      </c>
      <c r="B25" s="22">
        <v>45504</v>
      </c>
      <c r="C25" s="7">
        <v>1116</v>
      </c>
      <c r="D25" s="8">
        <f>69.2+16.18+3.35</f>
        <v>88.72999999999999</v>
      </c>
      <c r="E25" s="8"/>
      <c r="F25" s="8"/>
      <c r="G25" s="7"/>
      <c r="H25" s="8">
        <f t="shared" si="4"/>
        <v>1204.73</v>
      </c>
      <c r="I25" s="8">
        <f t="shared" si="1"/>
        <v>118261.92000000001</v>
      </c>
      <c r="L25" s="23"/>
    </row>
    <row r="26" spans="1:12">
      <c r="A26" s="14" t="s">
        <v>50</v>
      </c>
      <c r="B26" s="22">
        <v>45504</v>
      </c>
      <c r="C26" s="7">
        <f>992-620</f>
        <v>372</v>
      </c>
      <c r="D26" s="8">
        <f>23.07+5.39+1.12</f>
        <v>29.580000000000002</v>
      </c>
      <c r="E26" s="8"/>
      <c r="F26" s="8"/>
      <c r="G26" s="7"/>
      <c r="H26" s="8">
        <f t="shared" si="4"/>
        <v>401.58</v>
      </c>
      <c r="I26" s="8">
        <f t="shared" si="1"/>
        <v>117860.34000000001</v>
      </c>
      <c r="L26" s="23"/>
    </row>
    <row r="27" spans="1:12">
      <c r="A27" s="14" t="s">
        <v>51</v>
      </c>
      <c r="B27" s="22">
        <v>45504</v>
      </c>
      <c r="C27" s="7">
        <v>1116</v>
      </c>
      <c r="D27" s="8">
        <f>69.19+16.19+3.35</f>
        <v>88.72999999999999</v>
      </c>
      <c r="E27" s="8"/>
      <c r="F27" s="8"/>
      <c r="G27" s="7"/>
      <c r="H27" s="8">
        <f t="shared" si="4"/>
        <v>1204.73</v>
      </c>
      <c r="I27" s="8">
        <f t="shared" si="1"/>
        <v>116655.61000000002</v>
      </c>
      <c r="J27" s="15">
        <f>SUM(H23:H27)</f>
        <v>5002.92</v>
      </c>
      <c r="K27" s="15">
        <f>116655.61</f>
        <v>116655.61</v>
      </c>
      <c r="L27" s="23" t="s">
        <v>52</v>
      </c>
    </row>
    <row r="28" spans="1:12">
      <c r="A28" s="14" t="s">
        <v>53</v>
      </c>
      <c r="B28" s="22">
        <v>45535</v>
      </c>
      <c r="C28" s="7">
        <v>3266.67</v>
      </c>
      <c r="D28" s="8">
        <f>45.58+9.8</f>
        <v>55.379999999999995</v>
      </c>
      <c r="E28" s="8"/>
      <c r="F28" s="8"/>
      <c r="G28" s="7"/>
      <c r="H28" s="8">
        <f t="shared" si="4"/>
        <v>3322.05</v>
      </c>
      <c r="I28" s="8">
        <f t="shared" si="1"/>
        <v>113333.56000000001</v>
      </c>
      <c r="L28" s="23"/>
    </row>
    <row r="29" spans="1:12">
      <c r="A29" s="14" t="s">
        <v>54</v>
      </c>
      <c r="B29" s="22">
        <v>45535</v>
      </c>
      <c r="C29" s="7">
        <v>806</v>
      </c>
      <c r="D29" s="8">
        <f>49.97+11.69+2.42</f>
        <v>64.08</v>
      </c>
      <c r="E29" s="8"/>
      <c r="F29" s="8"/>
      <c r="G29" s="7"/>
      <c r="H29" s="8">
        <f t="shared" si="4"/>
        <v>870.08</v>
      </c>
      <c r="I29" s="8">
        <f t="shared" si="1"/>
        <v>112463.48000000001</v>
      </c>
      <c r="L29" s="23"/>
    </row>
    <row r="30" spans="1:12">
      <c r="A30" s="14" t="s">
        <v>55</v>
      </c>
      <c r="B30" s="22">
        <v>45535</v>
      </c>
      <c r="C30" s="7">
        <v>1178</v>
      </c>
      <c r="D30" s="8">
        <f>73.03+17.08+3.53</f>
        <v>93.64</v>
      </c>
      <c r="E30" s="8"/>
      <c r="F30" s="8"/>
      <c r="G30" s="7"/>
      <c r="H30" s="8">
        <f t="shared" si="4"/>
        <v>1271.6400000000001</v>
      </c>
      <c r="I30" s="8">
        <f t="shared" si="1"/>
        <v>111191.84000000001</v>
      </c>
      <c r="L30" s="23"/>
    </row>
    <row r="31" spans="1:12">
      <c r="A31" s="14" t="s">
        <v>56</v>
      </c>
      <c r="B31" s="22">
        <v>45535</v>
      </c>
      <c r="C31" s="7">
        <v>447</v>
      </c>
      <c r="D31" s="8">
        <f>27.71+6.48+1.34</f>
        <v>35.53</v>
      </c>
      <c r="E31" s="8"/>
      <c r="F31" s="8"/>
      <c r="G31" s="7"/>
      <c r="H31" s="8">
        <f t="shared" si="4"/>
        <v>482.53</v>
      </c>
      <c r="I31" s="8">
        <f t="shared" si="1"/>
        <v>110709.31000000001</v>
      </c>
      <c r="L31" s="23"/>
    </row>
    <row r="32" spans="1:12">
      <c r="A32" s="14" t="s">
        <v>57</v>
      </c>
      <c r="B32" s="22">
        <v>45535</v>
      </c>
      <c r="C32" s="7">
        <v>387</v>
      </c>
      <c r="D32" s="8">
        <f>24+5.61+1.16</f>
        <v>30.77</v>
      </c>
      <c r="E32" s="8"/>
      <c r="F32" s="8"/>
      <c r="G32" s="7"/>
      <c r="H32" s="8">
        <f t="shared" si="4"/>
        <v>417.77</v>
      </c>
      <c r="I32" s="8">
        <f t="shared" si="1"/>
        <v>110291.54000000001</v>
      </c>
      <c r="L32" s="23"/>
    </row>
    <row r="33" spans="1:12">
      <c r="A33" s="14" t="s">
        <v>58</v>
      </c>
      <c r="B33" s="22">
        <v>45535</v>
      </c>
      <c r="C33" s="7">
        <v>868</v>
      </c>
      <c r="D33" s="8">
        <f>53.81+12.58+2.6</f>
        <v>68.989999999999995</v>
      </c>
      <c r="E33" s="8"/>
      <c r="F33" s="8"/>
      <c r="G33" s="7"/>
      <c r="H33" s="8">
        <f t="shared" si="4"/>
        <v>936.99</v>
      </c>
      <c r="I33" s="8">
        <f t="shared" si="1"/>
        <v>109354.55</v>
      </c>
      <c r="L33" s="23"/>
    </row>
    <row r="34" spans="1:12">
      <c r="A34" s="14" t="s">
        <v>59</v>
      </c>
      <c r="B34" s="22">
        <v>45535</v>
      </c>
      <c r="C34" s="7">
        <v>1162.5</v>
      </c>
      <c r="D34" s="8">
        <f>72.08+16.86+3.5</f>
        <v>92.44</v>
      </c>
      <c r="E34" s="8"/>
      <c r="F34" s="8"/>
      <c r="G34" s="7"/>
      <c r="H34" s="8">
        <f t="shared" si="4"/>
        <v>1254.94</v>
      </c>
      <c r="I34" s="8">
        <f t="shared" si="1"/>
        <v>108099.61</v>
      </c>
      <c r="J34" s="15">
        <f>SUM(H28:H34)</f>
        <v>8556</v>
      </c>
      <c r="K34" s="15">
        <f>108099.61</f>
        <v>108099.61</v>
      </c>
      <c r="L34" s="23" t="s">
        <v>60</v>
      </c>
    </row>
    <row r="35" spans="1:12">
      <c r="A35" s="14" t="s">
        <v>61</v>
      </c>
      <c r="B35" s="22">
        <v>45565</v>
      </c>
      <c r="C35" s="7">
        <v>3332</v>
      </c>
      <c r="D35" s="8">
        <f>44.47+9.99</f>
        <v>54.46</v>
      </c>
      <c r="E35" s="8"/>
      <c r="F35" s="8"/>
      <c r="G35" s="7"/>
      <c r="H35" s="8">
        <f t="shared" si="4"/>
        <v>3386.46</v>
      </c>
      <c r="I35" s="8">
        <f t="shared" si="1"/>
        <v>104713.15</v>
      </c>
      <c r="L35" s="23"/>
    </row>
    <row r="36" spans="1:12">
      <c r="A36" s="14" t="s">
        <v>62</v>
      </c>
      <c r="B36" s="22">
        <v>45565</v>
      </c>
      <c r="C36" s="7">
        <v>62</v>
      </c>
      <c r="D36" s="8">
        <f>3.85+0.9+0.19</f>
        <v>4.9400000000000004</v>
      </c>
      <c r="E36" s="8"/>
      <c r="F36" s="8"/>
      <c r="G36" s="7"/>
      <c r="H36" s="8">
        <f t="shared" si="4"/>
        <v>66.94</v>
      </c>
      <c r="I36" s="8">
        <f t="shared" si="1"/>
        <v>104646.20999999999</v>
      </c>
      <c r="L36" s="23"/>
    </row>
    <row r="37" spans="1:12">
      <c r="A37" s="14" t="s">
        <v>63</v>
      </c>
      <c r="B37" s="22">
        <v>45565</v>
      </c>
      <c r="C37" s="7">
        <v>153.44999999999999</v>
      </c>
      <c r="D37" s="8">
        <v>0.46</v>
      </c>
      <c r="E37" s="8"/>
      <c r="F37" s="8"/>
      <c r="G37" s="7"/>
      <c r="H37" s="8">
        <f t="shared" si="4"/>
        <v>153.91</v>
      </c>
      <c r="I37" s="8">
        <f t="shared" si="1"/>
        <v>104492.29999999999</v>
      </c>
      <c r="L37" s="23"/>
    </row>
    <row r="38" spans="1:12">
      <c r="A38" s="14" t="s">
        <v>64</v>
      </c>
      <c r="B38" s="22">
        <v>45565</v>
      </c>
      <c r="C38" s="7">
        <v>31</v>
      </c>
      <c r="D38" s="8">
        <f>1.92+0.45+0.09</f>
        <v>2.46</v>
      </c>
      <c r="E38" s="8"/>
      <c r="F38" s="8"/>
      <c r="G38" s="7"/>
      <c r="H38" s="8">
        <f t="shared" si="4"/>
        <v>33.46</v>
      </c>
      <c r="I38" s="8">
        <f t="shared" si="1"/>
        <v>104458.83999999998</v>
      </c>
      <c r="L38" s="23"/>
    </row>
    <row r="39" spans="1:12">
      <c r="A39" s="14" t="s">
        <v>65</v>
      </c>
      <c r="B39" s="22">
        <v>45565</v>
      </c>
      <c r="C39" s="7">
        <v>88.35</v>
      </c>
      <c r="D39" s="8">
        <v>0.27</v>
      </c>
      <c r="E39" s="8"/>
      <c r="F39" s="8"/>
      <c r="G39" s="7"/>
      <c r="H39" s="8">
        <f t="shared" si="4"/>
        <v>88.61999999999999</v>
      </c>
      <c r="I39" s="8">
        <f t="shared" si="1"/>
        <v>104370.21999999999</v>
      </c>
      <c r="J39" s="15">
        <f>SUM(H35:H39)</f>
        <v>3729.39</v>
      </c>
      <c r="K39" s="15">
        <f>104370.22</f>
        <v>104370.22</v>
      </c>
      <c r="L39" s="23" t="s">
        <v>66</v>
      </c>
    </row>
    <row r="40" spans="1:12">
      <c r="A40" s="14" t="s">
        <v>67</v>
      </c>
      <c r="B40" s="22">
        <v>45596</v>
      </c>
      <c r="C40" s="7">
        <v>3332</v>
      </c>
      <c r="D40" s="8">
        <v>44.47</v>
      </c>
      <c r="E40" s="8"/>
      <c r="F40" s="8"/>
      <c r="G40" s="7"/>
      <c r="H40" s="8">
        <f t="shared" ref="H40:H48" si="5">SUM(C40:F40)</f>
        <v>3376.47</v>
      </c>
      <c r="I40" s="8">
        <f t="shared" ref="I40:I48" si="6">I39+G40-H40</f>
        <v>100993.74999999999</v>
      </c>
      <c r="L40" s="23"/>
    </row>
    <row r="41" spans="1:12">
      <c r="A41" s="14" t="s">
        <v>68</v>
      </c>
      <c r="B41" s="22">
        <v>45596</v>
      </c>
      <c r="C41" s="7"/>
      <c r="D41" s="8">
        <v>0.45</v>
      </c>
      <c r="E41" s="8"/>
      <c r="F41" s="8"/>
      <c r="G41" s="7"/>
      <c r="H41" s="8">
        <f t="shared" si="5"/>
        <v>0.45</v>
      </c>
      <c r="I41" s="8">
        <f t="shared" si="6"/>
        <v>100993.29999999999</v>
      </c>
      <c r="L41" s="23"/>
    </row>
    <row r="42" spans="1:12">
      <c r="A42" s="14" t="s">
        <v>69</v>
      </c>
      <c r="B42" s="22">
        <v>45596</v>
      </c>
      <c r="C42" s="7"/>
      <c r="D42" s="8">
        <v>10</v>
      </c>
      <c r="E42" s="8"/>
      <c r="F42" s="8"/>
      <c r="G42" s="7"/>
      <c r="H42" s="8">
        <f t="shared" si="5"/>
        <v>10</v>
      </c>
      <c r="I42" s="8">
        <f t="shared" si="6"/>
        <v>100983.29999999999</v>
      </c>
      <c r="L42" s="23"/>
    </row>
    <row r="43" spans="1:12">
      <c r="A43" s="14" t="s">
        <v>70</v>
      </c>
      <c r="B43" s="22">
        <v>45596</v>
      </c>
      <c r="C43" s="7"/>
      <c r="D43" s="8">
        <v>1.0900000000000001</v>
      </c>
      <c r="E43" s="8"/>
      <c r="F43" s="8"/>
      <c r="G43" s="7"/>
      <c r="H43" s="8">
        <f t="shared" si="5"/>
        <v>1.0900000000000001</v>
      </c>
      <c r="I43" s="8">
        <f t="shared" si="6"/>
        <v>100982.20999999999</v>
      </c>
      <c r="L43" s="23"/>
    </row>
    <row r="44" spans="1:12">
      <c r="A44" s="14" t="s">
        <v>71</v>
      </c>
      <c r="B44" s="22">
        <v>45596</v>
      </c>
      <c r="C44" s="7">
        <v>51.15</v>
      </c>
      <c r="D44" s="8"/>
      <c r="E44" s="8"/>
      <c r="F44" s="8"/>
      <c r="G44" s="7"/>
      <c r="H44" s="8">
        <f t="shared" si="5"/>
        <v>51.15</v>
      </c>
      <c r="I44" s="8">
        <f t="shared" si="6"/>
        <v>100931.06</v>
      </c>
      <c r="L44" s="23"/>
    </row>
    <row r="45" spans="1:12">
      <c r="A45" s="14" t="s">
        <v>72</v>
      </c>
      <c r="B45" s="22">
        <v>45596</v>
      </c>
      <c r="C45" s="7">
        <v>178.25</v>
      </c>
      <c r="D45" s="8"/>
      <c r="E45" s="8"/>
      <c r="F45" s="8"/>
      <c r="G45" s="7"/>
      <c r="H45" s="8">
        <f t="shared" si="5"/>
        <v>178.25</v>
      </c>
      <c r="I45" s="8">
        <f t="shared" si="6"/>
        <v>100752.81</v>
      </c>
      <c r="L45" s="23"/>
    </row>
    <row r="46" spans="1:12">
      <c r="A46" s="14" t="s">
        <v>73</v>
      </c>
      <c r="B46" s="22">
        <v>45596</v>
      </c>
      <c r="C46" s="7">
        <v>15</v>
      </c>
      <c r="D46" s="8"/>
      <c r="E46" s="8"/>
      <c r="F46" s="8"/>
      <c r="G46" s="7"/>
      <c r="H46" s="8">
        <f t="shared" si="5"/>
        <v>15</v>
      </c>
      <c r="I46" s="8">
        <f t="shared" si="6"/>
        <v>100737.81</v>
      </c>
      <c r="L46" s="23"/>
    </row>
    <row r="47" spans="1:12">
      <c r="A47" s="14" t="s">
        <v>74</v>
      </c>
      <c r="B47" s="22">
        <v>45596</v>
      </c>
      <c r="C47" s="7">
        <v>100.75</v>
      </c>
      <c r="D47" s="8"/>
      <c r="E47" s="8"/>
      <c r="F47" s="8"/>
      <c r="G47" s="7"/>
      <c r="H47" s="8">
        <f t="shared" si="5"/>
        <v>100.75</v>
      </c>
      <c r="I47" s="8">
        <f t="shared" si="6"/>
        <v>100637.06</v>
      </c>
      <c r="L47" s="23"/>
    </row>
    <row r="48" spans="1:12">
      <c r="A48" s="14" t="s">
        <v>75</v>
      </c>
      <c r="B48" s="22">
        <v>45596</v>
      </c>
      <c r="C48" s="7">
        <v>170.5</v>
      </c>
      <c r="D48" s="8"/>
      <c r="E48" s="8"/>
      <c r="F48" s="8"/>
      <c r="G48" s="7"/>
      <c r="H48" s="8">
        <f t="shared" si="5"/>
        <v>170.5</v>
      </c>
      <c r="I48" s="8">
        <f t="shared" si="6"/>
        <v>100466.56</v>
      </c>
      <c r="J48" s="15">
        <f>SUM(H40:H48)</f>
        <v>3903.66</v>
      </c>
      <c r="K48" s="15">
        <v>100466.56</v>
      </c>
      <c r="L48" s="23" t="s">
        <v>76</v>
      </c>
    </row>
    <row r="49" spans="1:12">
      <c r="A49" s="14" t="s">
        <v>77</v>
      </c>
      <c r="B49" s="22">
        <v>45626</v>
      </c>
      <c r="C49" s="7">
        <v>3332</v>
      </c>
      <c r="D49" s="8">
        <v>44.47</v>
      </c>
      <c r="E49" s="8"/>
      <c r="F49" s="8"/>
      <c r="G49" s="7"/>
      <c r="H49" s="8">
        <f t="shared" ref="H49:H62" si="7">SUM(C49:F49)</f>
        <v>3376.47</v>
      </c>
      <c r="I49" s="8">
        <f t="shared" ref="I49:I62" si="8">I48+G49-H49</f>
        <v>97090.09</v>
      </c>
      <c r="L49" s="23"/>
    </row>
    <row r="50" spans="1:12">
      <c r="A50" s="14" t="s">
        <v>78</v>
      </c>
      <c r="B50" s="22">
        <v>45626</v>
      </c>
      <c r="C50" s="7">
        <v>13.2</v>
      </c>
      <c r="D50" s="8">
        <f>0.82+0.19</f>
        <v>1.01</v>
      </c>
      <c r="E50" s="8"/>
      <c r="F50" s="8"/>
      <c r="G50" s="7"/>
      <c r="H50" s="8">
        <f t="shared" si="7"/>
        <v>14.209999999999999</v>
      </c>
      <c r="I50" s="8">
        <f t="shared" si="8"/>
        <v>97075.87999999999</v>
      </c>
      <c r="L50" s="23"/>
    </row>
    <row r="51" spans="1:12">
      <c r="A51" s="14" t="s">
        <v>79</v>
      </c>
      <c r="B51" s="22">
        <v>45626</v>
      </c>
      <c r="C51" s="7">
        <v>58.8</v>
      </c>
      <c r="D51" s="8"/>
      <c r="E51" s="8"/>
      <c r="F51" s="8"/>
      <c r="G51" s="7"/>
      <c r="H51" s="8">
        <f t="shared" si="7"/>
        <v>58.8</v>
      </c>
      <c r="I51" s="8">
        <f t="shared" si="8"/>
        <v>97017.079999999987</v>
      </c>
      <c r="L51" s="23"/>
    </row>
    <row r="52" spans="1:12">
      <c r="A52" s="14" t="s">
        <v>80</v>
      </c>
      <c r="B52" s="22">
        <v>45626</v>
      </c>
      <c r="C52" s="7"/>
      <c r="D52" s="8">
        <v>1.37</v>
      </c>
      <c r="E52" s="8"/>
      <c r="F52" s="8"/>
      <c r="G52" s="7"/>
      <c r="H52" s="8">
        <f t="shared" ref="H52:H58" si="9">SUM(C52:F52)</f>
        <v>1.37</v>
      </c>
      <c r="I52" s="8">
        <f t="shared" ref="I52:I58" si="10">I51+G52-H52</f>
        <v>97015.709999999992</v>
      </c>
      <c r="L52" s="23"/>
    </row>
    <row r="53" spans="1:12">
      <c r="A53" s="14" t="s">
        <v>81</v>
      </c>
      <c r="B53" s="22">
        <v>45626</v>
      </c>
      <c r="C53" s="7"/>
      <c r="D53" s="8">
        <v>0.04</v>
      </c>
      <c r="E53" s="8"/>
      <c r="F53" s="8"/>
      <c r="G53" s="7"/>
      <c r="H53" s="8">
        <f t="shared" si="9"/>
        <v>0.04</v>
      </c>
      <c r="I53" s="8">
        <f t="shared" si="10"/>
        <v>97015.67</v>
      </c>
      <c r="L53" s="23"/>
    </row>
    <row r="54" spans="1:12">
      <c r="A54" s="14" t="s">
        <v>82</v>
      </c>
      <c r="B54" s="22">
        <v>45626</v>
      </c>
      <c r="C54" s="7"/>
      <c r="D54" s="8">
        <v>9.99</v>
      </c>
      <c r="E54" s="8"/>
      <c r="F54" s="8"/>
      <c r="G54" s="7"/>
      <c r="H54" s="8">
        <f t="shared" si="9"/>
        <v>9.99</v>
      </c>
      <c r="I54" s="8">
        <f t="shared" si="10"/>
        <v>97005.68</v>
      </c>
      <c r="L54" s="23"/>
    </row>
    <row r="55" spans="1:12">
      <c r="A55" s="14" t="s">
        <v>83</v>
      </c>
      <c r="B55" s="22">
        <v>45626</v>
      </c>
      <c r="C55" s="7"/>
      <c r="D55" s="8">
        <v>2.0299999999999998</v>
      </c>
      <c r="E55" s="8"/>
      <c r="F55" s="8"/>
      <c r="G55" s="7"/>
      <c r="H55" s="8">
        <f t="shared" si="9"/>
        <v>2.0299999999999998</v>
      </c>
      <c r="I55" s="8">
        <f t="shared" si="10"/>
        <v>97003.65</v>
      </c>
      <c r="L55" s="23"/>
    </row>
    <row r="56" spans="1:12">
      <c r="A56" s="14" t="s">
        <v>84</v>
      </c>
      <c r="B56" s="22">
        <v>45626</v>
      </c>
      <c r="C56" s="7"/>
      <c r="D56" s="8">
        <v>0.04</v>
      </c>
      <c r="E56" s="8"/>
      <c r="F56" s="8"/>
      <c r="G56" s="7"/>
      <c r="H56" s="8">
        <f t="shared" si="9"/>
        <v>0.04</v>
      </c>
      <c r="I56" s="8">
        <f t="shared" si="10"/>
        <v>97003.61</v>
      </c>
      <c r="L56" s="23"/>
    </row>
    <row r="57" spans="1:12">
      <c r="A57" s="14" t="s">
        <v>85</v>
      </c>
      <c r="B57" s="22">
        <v>45626</v>
      </c>
      <c r="C57" s="7">
        <v>12</v>
      </c>
      <c r="D57" s="8"/>
      <c r="E57" s="8"/>
      <c r="F57" s="8"/>
      <c r="G57" s="7"/>
      <c r="H57" s="8">
        <f t="shared" si="9"/>
        <v>12</v>
      </c>
      <c r="I57" s="8">
        <f t="shared" si="10"/>
        <v>96991.61</v>
      </c>
      <c r="L57" s="23"/>
    </row>
    <row r="58" spans="1:12">
      <c r="A58" s="14" t="s">
        <v>86</v>
      </c>
      <c r="B58" s="22">
        <v>45626</v>
      </c>
      <c r="C58" s="7">
        <v>78</v>
      </c>
      <c r="D58" s="8"/>
      <c r="E58" s="8"/>
      <c r="F58" s="8"/>
      <c r="G58" s="7"/>
      <c r="H58" s="8">
        <f t="shared" si="9"/>
        <v>78</v>
      </c>
      <c r="I58" s="8">
        <f t="shared" si="10"/>
        <v>96913.61</v>
      </c>
      <c r="L58" s="23"/>
    </row>
    <row r="59" spans="1:12">
      <c r="A59" s="14" t="s">
        <v>87</v>
      </c>
      <c r="B59" s="22">
        <v>45626</v>
      </c>
      <c r="C59" s="7">
        <v>237.15</v>
      </c>
      <c r="D59" s="8"/>
      <c r="E59" s="8"/>
      <c r="F59" s="8"/>
      <c r="G59" s="7"/>
      <c r="H59" s="8">
        <f t="shared" si="7"/>
        <v>237.15</v>
      </c>
      <c r="I59" s="8">
        <f t="shared" si="8"/>
        <v>96676.46</v>
      </c>
      <c r="L59" s="23"/>
    </row>
    <row r="60" spans="1:12">
      <c r="A60" s="14" t="s">
        <v>88</v>
      </c>
      <c r="B60" s="22">
        <v>45626</v>
      </c>
      <c r="C60" s="7">
        <v>237.15</v>
      </c>
      <c r="D60" s="8"/>
      <c r="E60" s="8"/>
      <c r="F60" s="8"/>
      <c r="G60" s="7"/>
      <c r="H60" s="8">
        <f t="shared" si="7"/>
        <v>237.15</v>
      </c>
      <c r="I60" s="8">
        <f t="shared" si="8"/>
        <v>96439.310000000012</v>
      </c>
      <c r="L60" s="23"/>
    </row>
    <row r="61" spans="1:12">
      <c r="A61" s="14" t="s">
        <v>89</v>
      </c>
      <c r="B61" s="22">
        <v>45626</v>
      </c>
      <c r="C61" s="7">
        <v>60.6</v>
      </c>
      <c r="D61" s="8">
        <f>0.86+0.2</f>
        <v>1.06</v>
      </c>
      <c r="E61" s="8"/>
      <c r="F61" s="8"/>
      <c r="G61" s="7"/>
      <c r="H61" s="8">
        <f t="shared" si="7"/>
        <v>61.660000000000004</v>
      </c>
      <c r="I61" s="8">
        <f t="shared" si="8"/>
        <v>96377.650000000009</v>
      </c>
      <c r="L61" s="23"/>
    </row>
    <row r="62" spans="1:12">
      <c r="A62" s="14" t="s">
        <v>90</v>
      </c>
      <c r="B62" s="22">
        <v>45626</v>
      </c>
      <c r="C62" s="7">
        <v>13.8</v>
      </c>
      <c r="D62" s="8"/>
      <c r="E62" s="8"/>
      <c r="F62" s="8"/>
      <c r="G62" s="7"/>
      <c r="H62" s="8">
        <f t="shared" si="7"/>
        <v>13.8</v>
      </c>
      <c r="I62" s="8">
        <f t="shared" si="8"/>
        <v>96363.85</v>
      </c>
      <c r="L62" s="23"/>
    </row>
    <row r="63" spans="1:12">
      <c r="A63" s="14" t="s">
        <v>91</v>
      </c>
      <c r="B63" s="22">
        <v>45626</v>
      </c>
      <c r="C63" s="7">
        <v>47.4</v>
      </c>
      <c r="D63" s="8"/>
      <c r="E63" s="8"/>
      <c r="F63" s="8"/>
      <c r="G63" s="7"/>
      <c r="H63" s="8">
        <f t="shared" ref="H63:H86" si="11">SUM(C63:F63)</f>
        <v>47.4</v>
      </c>
      <c r="I63" s="8">
        <f t="shared" ref="I63:I86" si="12">I62+G63-H63</f>
        <v>96316.450000000012</v>
      </c>
      <c r="L63" s="23"/>
    </row>
    <row r="64" spans="1:12">
      <c r="A64" s="14" t="s">
        <v>92</v>
      </c>
      <c r="B64" s="22">
        <v>45626</v>
      </c>
      <c r="C64" s="7">
        <v>81.599999999999994</v>
      </c>
      <c r="D64" s="8"/>
      <c r="E64" s="8"/>
      <c r="F64" s="8"/>
      <c r="G64" s="7"/>
      <c r="H64" s="8">
        <f t="shared" si="11"/>
        <v>81.599999999999994</v>
      </c>
      <c r="I64" s="8">
        <f t="shared" si="12"/>
        <v>96234.85</v>
      </c>
      <c r="L64" s="23"/>
    </row>
    <row r="65" spans="1:12">
      <c r="A65" s="14" t="s">
        <v>93</v>
      </c>
      <c r="B65" s="22">
        <v>45626</v>
      </c>
      <c r="C65" s="7">
        <v>159.65</v>
      </c>
      <c r="D65" s="8"/>
      <c r="E65" s="8"/>
      <c r="F65" s="8"/>
      <c r="G65" s="7"/>
      <c r="H65" s="8">
        <f t="shared" si="11"/>
        <v>159.65</v>
      </c>
      <c r="I65" s="8">
        <f t="shared" si="12"/>
        <v>96075.200000000012</v>
      </c>
      <c r="L65" s="23"/>
    </row>
    <row r="66" spans="1:12">
      <c r="A66" s="14" t="s">
        <v>94</v>
      </c>
      <c r="B66" s="22">
        <v>45626</v>
      </c>
      <c r="C66" s="7">
        <v>159.65</v>
      </c>
      <c r="D66" s="8"/>
      <c r="E66" s="8"/>
      <c r="F66" s="8"/>
      <c r="G66" s="7"/>
      <c r="H66" s="8">
        <f t="shared" si="11"/>
        <v>159.65</v>
      </c>
      <c r="I66" s="8">
        <f t="shared" si="12"/>
        <v>95915.550000000017</v>
      </c>
      <c r="J66" s="15">
        <f>SUM(H49:H66)</f>
        <v>4551.0099999999993</v>
      </c>
      <c r="K66" s="15">
        <v>95915.55</v>
      </c>
      <c r="L66" s="23" t="s">
        <v>95</v>
      </c>
    </row>
    <row r="67" spans="1:12">
      <c r="A67" s="14" t="s">
        <v>96</v>
      </c>
      <c r="B67" s="22">
        <v>45657</v>
      </c>
      <c r="C67" s="7">
        <v>3332</v>
      </c>
      <c r="D67" s="8">
        <f>44.47+9.99</f>
        <v>54.46</v>
      </c>
      <c r="E67" s="8"/>
      <c r="F67" s="8"/>
      <c r="G67" s="7"/>
      <c r="H67" s="8">
        <f t="shared" si="11"/>
        <v>3386.46</v>
      </c>
      <c r="I67" s="8">
        <f t="shared" si="12"/>
        <v>92529.090000000011</v>
      </c>
      <c r="L67" s="23"/>
    </row>
    <row r="68" spans="1:12">
      <c r="A68" s="14" t="s">
        <v>97</v>
      </c>
      <c r="B68" s="22">
        <v>45657</v>
      </c>
      <c r="C68" s="7">
        <v>96</v>
      </c>
      <c r="D68" s="8">
        <v>0.28999999999999998</v>
      </c>
      <c r="E68" s="8"/>
      <c r="F68" s="8"/>
      <c r="G68" s="8"/>
      <c r="H68" s="8">
        <f t="shared" si="11"/>
        <v>96.29</v>
      </c>
      <c r="I68" s="8">
        <f t="shared" si="12"/>
        <v>92432.800000000017</v>
      </c>
      <c r="L68" s="23"/>
    </row>
    <row r="69" spans="1:12">
      <c r="A69" s="14" t="s">
        <v>98</v>
      </c>
      <c r="B69" s="22">
        <v>45657</v>
      </c>
      <c r="C69" s="7">
        <v>60</v>
      </c>
      <c r="D69" s="8">
        <v>0.18</v>
      </c>
      <c r="E69" s="8"/>
      <c r="F69" s="8"/>
      <c r="G69" s="8"/>
      <c r="H69" s="8">
        <f t="shared" si="11"/>
        <v>60.18</v>
      </c>
      <c r="I69" s="8">
        <f t="shared" si="12"/>
        <v>92372.620000000024</v>
      </c>
      <c r="L69" s="23"/>
    </row>
    <row r="70" spans="1:12">
      <c r="A70" s="14" t="s">
        <v>99</v>
      </c>
      <c r="B70" s="22">
        <v>45657</v>
      </c>
      <c r="C70" s="7">
        <v>90</v>
      </c>
      <c r="D70" s="8">
        <v>0.27</v>
      </c>
      <c r="E70" s="8"/>
      <c r="F70" s="8"/>
      <c r="G70" s="8"/>
      <c r="H70" s="8">
        <f t="shared" si="11"/>
        <v>90.27</v>
      </c>
      <c r="I70" s="8">
        <f t="shared" si="12"/>
        <v>92282.35000000002</v>
      </c>
      <c r="L70" s="23"/>
    </row>
    <row r="71" spans="1:12">
      <c r="A71" s="14" t="s">
        <v>100</v>
      </c>
      <c r="B71" s="22">
        <v>45657</v>
      </c>
      <c r="C71" s="7">
        <v>76.8</v>
      </c>
      <c r="D71" s="8">
        <v>0.23</v>
      </c>
      <c r="E71" s="8"/>
      <c r="F71" s="8"/>
      <c r="G71" s="7"/>
      <c r="H71" s="8">
        <f t="shared" si="11"/>
        <v>77.03</v>
      </c>
      <c r="I71" s="8">
        <f t="shared" si="12"/>
        <v>92205.320000000022</v>
      </c>
      <c r="L71" s="23"/>
    </row>
    <row r="72" spans="1:12">
      <c r="A72" s="14" t="s">
        <v>101</v>
      </c>
      <c r="B72" s="22">
        <v>45657</v>
      </c>
      <c r="C72" s="7">
        <v>42</v>
      </c>
      <c r="D72" s="8">
        <v>0.13</v>
      </c>
      <c r="E72" s="8"/>
      <c r="F72" s="8"/>
      <c r="G72" s="7"/>
      <c r="H72" s="8">
        <f t="shared" si="11"/>
        <v>42.13</v>
      </c>
      <c r="I72" s="8">
        <f t="shared" si="12"/>
        <v>92163.190000000017</v>
      </c>
      <c r="L72" s="23"/>
    </row>
    <row r="73" spans="1:12">
      <c r="A73" s="14" t="s">
        <v>102</v>
      </c>
      <c r="B73" s="22">
        <v>45657</v>
      </c>
      <c r="C73" s="7">
        <v>42</v>
      </c>
      <c r="D73" s="8">
        <v>0.13</v>
      </c>
      <c r="E73" s="8"/>
      <c r="F73" s="8"/>
      <c r="G73" s="7"/>
      <c r="H73" s="8">
        <f t="shared" si="11"/>
        <v>42.13</v>
      </c>
      <c r="I73" s="8">
        <f t="shared" si="12"/>
        <v>92121.060000000012</v>
      </c>
      <c r="L73" s="23"/>
    </row>
    <row r="74" spans="1:12">
      <c r="A74" s="14" t="s">
        <v>103</v>
      </c>
      <c r="B74" s="22">
        <v>45657</v>
      </c>
      <c r="C74" s="7">
        <v>186</v>
      </c>
      <c r="D74" s="8">
        <v>0.56000000000000005</v>
      </c>
      <c r="E74" s="8"/>
      <c r="F74" s="8"/>
      <c r="G74" s="7"/>
      <c r="H74" s="8">
        <f t="shared" si="11"/>
        <v>186.56</v>
      </c>
      <c r="I74" s="8">
        <f t="shared" si="12"/>
        <v>91934.500000000015</v>
      </c>
      <c r="L74" s="23"/>
    </row>
    <row r="75" spans="1:12">
      <c r="A75" s="14" t="s">
        <v>104</v>
      </c>
      <c r="B75" s="22">
        <v>45657</v>
      </c>
      <c r="C75" s="7">
        <v>124</v>
      </c>
      <c r="D75" s="8">
        <v>0.37</v>
      </c>
      <c r="E75" s="8"/>
      <c r="F75" s="8"/>
      <c r="G75" s="7"/>
      <c r="H75" s="8">
        <f t="shared" si="11"/>
        <v>124.37</v>
      </c>
      <c r="I75" s="8">
        <f t="shared" si="12"/>
        <v>91810.130000000019</v>
      </c>
      <c r="L75" s="23"/>
    </row>
    <row r="76" spans="1:12">
      <c r="A76" s="14" t="s">
        <v>105</v>
      </c>
      <c r="B76" s="22">
        <v>45657</v>
      </c>
      <c r="C76" s="7">
        <v>96</v>
      </c>
      <c r="D76" s="8">
        <v>0.28999999999999998</v>
      </c>
      <c r="E76" s="8"/>
      <c r="F76" s="8"/>
      <c r="G76" s="7"/>
      <c r="H76" s="8">
        <f t="shared" si="11"/>
        <v>96.29</v>
      </c>
      <c r="I76" s="8">
        <f t="shared" si="12"/>
        <v>91713.840000000026</v>
      </c>
      <c r="L76" s="23"/>
    </row>
    <row r="77" spans="1:12">
      <c r="A77" s="14" t="s">
        <v>106</v>
      </c>
      <c r="B77" s="22">
        <v>45657</v>
      </c>
      <c r="C77" s="7">
        <v>60</v>
      </c>
      <c r="D77" s="8">
        <v>0.18</v>
      </c>
      <c r="E77" s="8"/>
      <c r="F77" s="8"/>
      <c r="G77" s="7"/>
      <c r="H77" s="8">
        <f t="shared" si="11"/>
        <v>60.18</v>
      </c>
      <c r="I77" s="8">
        <f t="shared" si="12"/>
        <v>91653.660000000033</v>
      </c>
      <c r="L77" s="23"/>
    </row>
    <row r="78" spans="1:12">
      <c r="A78" s="14" t="s">
        <v>107</v>
      </c>
      <c r="B78" s="22">
        <v>45657</v>
      </c>
      <c r="C78" s="7">
        <v>72</v>
      </c>
      <c r="D78" s="8">
        <v>0.22</v>
      </c>
      <c r="E78" s="8"/>
      <c r="F78" s="8"/>
      <c r="G78" s="7"/>
      <c r="H78" s="8">
        <f t="shared" si="11"/>
        <v>72.22</v>
      </c>
      <c r="I78" s="8">
        <f t="shared" si="12"/>
        <v>91581.440000000031</v>
      </c>
      <c r="L78" s="23"/>
    </row>
    <row r="79" spans="1:12">
      <c r="A79" s="14" t="s">
        <v>108</v>
      </c>
      <c r="B79" s="22">
        <v>45657</v>
      </c>
      <c r="C79" s="7">
        <v>45</v>
      </c>
      <c r="D79" s="8">
        <v>0.14000000000000001</v>
      </c>
      <c r="E79" s="8"/>
      <c r="F79" s="8"/>
      <c r="G79" s="7"/>
      <c r="H79" s="8">
        <f t="shared" si="11"/>
        <v>45.14</v>
      </c>
      <c r="I79" s="8">
        <f t="shared" si="12"/>
        <v>91536.300000000032</v>
      </c>
      <c r="L79" s="23"/>
    </row>
    <row r="80" spans="1:12">
      <c r="A80" s="14" t="s">
        <v>109</v>
      </c>
      <c r="B80" s="22">
        <v>45657</v>
      </c>
      <c r="C80" s="7">
        <v>24</v>
      </c>
      <c r="D80" s="8">
        <v>7.0000000000000007E-2</v>
      </c>
      <c r="E80" s="8"/>
      <c r="F80" s="8"/>
      <c r="G80" s="7"/>
      <c r="H80" s="8">
        <f t="shared" si="11"/>
        <v>24.07</v>
      </c>
      <c r="I80" s="8">
        <f t="shared" si="12"/>
        <v>91512.230000000025</v>
      </c>
      <c r="L80" s="23"/>
    </row>
    <row r="81" spans="1:12">
      <c r="A81" s="14" t="s">
        <v>110</v>
      </c>
      <c r="B81" s="22">
        <v>45657</v>
      </c>
      <c r="C81" s="7">
        <v>108.5</v>
      </c>
      <c r="D81" s="8">
        <v>0.32</v>
      </c>
      <c r="E81" s="8"/>
      <c r="F81" s="8"/>
      <c r="G81" s="7"/>
      <c r="H81" s="8">
        <f t="shared" si="11"/>
        <v>108.82</v>
      </c>
      <c r="I81" s="8">
        <f t="shared" si="12"/>
        <v>91403.410000000018</v>
      </c>
      <c r="L81" s="23"/>
    </row>
    <row r="82" spans="1:12">
      <c r="A82" s="14" t="s">
        <v>111</v>
      </c>
      <c r="B82" s="22">
        <v>45657</v>
      </c>
      <c r="C82" s="7">
        <v>46.5</v>
      </c>
      <c r="D82" s="8">
        <v>0.14000000000000001</v>
      </c>
      <c r="E82" s="8"/>
      <c r="F82" s="8"/>
      <c r="G82" s="7"/>
      <c r="H82" s="8">
        <f t="shared" si="11"/>
        <v>46.64</v>
      </c>
      <c r="I82" s="8">
        <f t="shared" si="12"/>
        <v>91356.770000000019</v>
      </c>
      <c r="L82" s="23"/>
    </row>
    <row r="83" spans="1:12">
      <c r="A83" s="14" t="s">
        <v>112</v>
      </c>
      <c r="B83" s="22">
        <v>45657</v>
      </c>
      <c r="C83" s="7">
        <v>114.7</v>
      </c>
      <c r="D83" s="8">
        <v>0.34</v>
      </c>
      <c r="E83" s="8"/>
      <c r="F83" s="8"/>
      <c r="G83" s="7"/>
      <c r="H83" s="8">
        <f t="shared" si="11"/>
        <v>115.04</v>
      </c>
      <c r="I83" s="8">
        <f t="shared" si="12"/>
        <v>91241.730000000025</v>
      </c>
      <c r="J83" s="15">
        <f>SUM(H67:H83)</f>
        <v>4673.8200000000006</v>
      </c>
      <c r="K83" s="15">
        <f>91241.73-0</f>
        <v>91241.73</v>
      </c>
      <c r="L83" s="23" t="s">
        <v>113</v>
      </c>
    </row>
    <row r="84" spans="1:12">
      <c r="A84" s="14" t="s">
        <v>114</v>
      </c>
      <c r="B84" s="22" t="s">
        <v>115</v>
      </c>
      <c r="C84" s="7">
        <v>3332</v>
      </c>
      <c r="D84" s="8">
        <f>44.47+10</f>
        <v>54.47</v>
      </c>
      <c r="E84" s="8"/>
      <c r="F84" s="8"/>
      <c r="G84" s="7"/>
      <c r="H84" s="8">
        <f t="shared" si="11"/>
        <v>3386.47</v>
      </c>
      <c r="I84" s="8">
        <f t="shared" si="12"/>
        <v>87855.260000000024</v>
      </c>
      <c r="L84" s="23"/>
    </row>
    <row r="85" spans="1:12">
      <c r="A85" s="14" t="s">
        <v>116</v>
      </c>
      <c r="B85" s="22" t="s">
        <v>115</v>
      </c>
      <c r="C85" s="7">
        <f>(4760*0.7)*5.5</f>
        <v>18326</v>
      </c>
      <c r="D85" s="8">
        <f>C85*0.0163</f>
        <v>298.71379999999999</v>
      </c>
      <c r="E85" s="25" t="s">
        <v>117</v>
      </c>
      <c r="F85" s="8"/>
      <c r="G85" s="7"/>
      <c r="H85" s="8">
        <f t="shared" si="11"/>
        <v>18624.713800000001</v>
      </c>
      <c r="I85" s="8">
        <f t="shared" si="12"/>
        <v>69230.546200000026</v>
      </c>
      <c r="L85" s="23"/>
    </row>
    <row r="86" spans="1:12">
      <c r="A86" s="14" t="s">
        <v>118</v>
      </c>
      <c r="B86" s="22" t="s">
        <v>119</v>
      </c>
      <c r="C86" s="7"/>
      <c r="D86" s="8"/>
      <c r="E86" s="8"/>
      <c r="F86" s="8">
        <v>1275</v>
      </c>
      <c r="G86" s="7"/>
      <c r="H86" s="8">
        <f t="shared" si="11"/>
        <v>1275</v>
      </c>
      <c r="I86" s="8">
        <f t="shared" si="12"/>
        <v>67955.546200000026</v>
      </c>
      <c r="L86" s="23"/>
    </row>
    <row r="87" spans="1:12" s="6" customFormat="1">
      <c r="A87"/>
      <c r="B87" s="22"/>
      <c r="C87" s="7"/>
      <c r="D87" s="7"/>
      <c r="E87" s="8"/>
      <c r="F87" s="8"/>
      <c r="G87" s="7"/>
      <c r="H87" s="8"/>
      <c r="I87" s="8"/>
      <c r="J87" s="15"/>
      <c r="K87" s="15"/>
      <c r="L87" s="16"/>
    </row>
    <row r="88" spans="1:12">
      <c r="A88" t="s">
        <v>120</v>
      </c>
      <c r="B88" s="2"/>
      <c r="C88" s="3">
        <f t="shared" ref="C88:H88" si="13">SUM(C6:C87)</f>
        <v>78156.360000000015</v>
      </c>
      <c r="D88" s="3">
        <f t="shared" si="13"/>
        <v>2247.7237999999998</v>
      </c>
      <c r="E88" s="3">
        <f t="shared" si="13"/>
        <v>0</v>
      </c>
      <c r="F88" s="3">
        <f t="shared" si="13"/>
        <v>1275</v>
      </c>
      <c r="G88" s="3">
        <f t="shared" si="13"/>
        <v>149634.63</v>
      </c>
      <c r="H88" s="3">
        <f t="shared" si="13"/>
        <v>81679.083800000022</v>
      </c>
      <c r="I88" s="8">
        <f>I87+G88-H88</f>
        <v>67955.546199999982</v>
      </c>
    </row>
    <row r="89" spans="1:12">
      <c r="B89" s="2"/>
      <c r="C89" s="24"/>
      <c r="D89" s="24"/>
      <c r="E89" s="24"/>
      <c r="F89" s="24"/>
      <c r="G89" s="24"/>
      <c r="I89" s="5"/>
    </row>
    <row r="90" spans="1:12" ht="23.25">
      <c r="A90" s="27" t="s">
        <v>121</v>
      </c>
      <c r="B90" s="28"/>
      <c r="C90" s="28"/>
      <c r="D90" s="28"/>
      <c r="E90" s="28"/>
      <c r="F90" s="28"/>
      <c r="G90" s="28"/>
      <c r="H90" s="28"/>
      <c r="I90" s="28"/>
    </row>
    <row r="91" spans="1:12">
      <c r="L91" s="19"/>
    </row>
    <row r="92" spans="1:12">
      <c r="L92" s="19"/>
    </row>
    <row r="93" spans="1:12">
      <c r="L93" s="19"/>
    </row>
    <row r="94" spans="1:12">
      <c r="L94" s="19"/>
    </row>
    <row r="95" spans="1:12">
      <c r="L95" s="19"/>
    </row>
    <row r="96" spans="1:12">
      <c r="L96" s="19"/>
    </row>
    <row r="97" spans="12:12">
      <c r="L97" s="19"/>
    </row>
    <row r="98" spans="12:12">
      <c r="L98" s="19"/>
    </row>
    <row r="99" spans="12:12">
      <c r="L99" s="19"/>
    </row>
    <row r="100" spans="12:12">
      <c r="L100" s="19"/>
    </row>
    <row r="101" spans="12:12">
      <c r="L101" s="19"/>
    </row>
    <row r="102" spans="12:12">
      <c r="L102" s="19"/>
    </row>
    <row r="103" spans="12:12">
      <c r="L103" s="19"/>
    </row>
    <row r="104" spans="12:12">
      <c r="L104" s="19"/>
    </row>
    <row r="105" spans="12:12">
      <c r="L105" s="19"/>
    </row>
    <row r="108" spans="12:12">
      <c r="L108" s="6"/>
    </row>
    <row r="110" spans="12:12">
      <c r="L110" s="20"/>
    </row>
    <row r="115" spans="12:12">
      <c r="L115" s="20"/>
    </row>
    <row r="116" spans="12:12">
      <c r="L116" s="20"/>
    </row>
    <row r="117" spans="12:12">
      <c r="L117" s="20"/>
    </row>
  </sheetData>
  <mergeCells count="2">
    <mergeCell ref="A4:I4"/>
    <mergeCell ref="A90:I90"/>
  </mergeCells>
  <phoneticPr fontId="0" type="noConversion"/>
  <printOptions horizontalCentered="1" gridLines="1"/>
  <pageMargins left="0.25" right="0.25" top="0.5" bottom="0.5" header="0.25" footer="0.25"/>
  <pageSetup scale="64" fitToHeight="8" orientation="landscape"/>
  <headerFooter alignWithMargins="0">
    <oddFooter>&amp;L&amp;D&amp;R&amp;P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ae6b86c258ca19772aeb545b086c9205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fd59297a06c8f3897030084a2eae6ad3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2F5DC8-1DEF-4845-BF8D-1D200EA9CFE8}"/>
</file>

<file path=customXml/itemProps2.xml><?xml version="1.0" encoding="utf-8"?>
<ds:datastoreItem xmlns:ds="http://schemas.openxmlformats.org/officeDocument/2006/customXml" ds:itemID="{B73E686C-27FD-4913-A6D7-ED4AC7C8BD28}"/>
</file>

<file path=customXml/itemProps3.xml><?xml version="1.0" encoding="utf-8"?>
<ds:datastoreItem xmlns:ds="http://schemas.openxmlformats.org/officeDocument/2006/customXml" ds:itemID="{8E70962E-2762-4D44-825E-2B7A2FE16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Illinois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Tondini</dc:creator>
  <cp:keywords/>
  <dc:description/>
  <cp:lastModifiedBy>X</cp:lastModifiedBy>
  <cp:revision/>
  <dcterms:created xsi:type="dcterms:W3CDTF">1999-01-29T05:22:40Z</dcterms:created>
  <dcterms:modified xsi:type="dcterms:W3CDTF">2025-02-20T22:18:28Z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</Properties>
</file>