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4"/>
  <workbookPr codeName="ThisWorkbook"/>
  <mc:AlternateContent xmlns:mc="http://schemas.openxmlformats.org/markup-compatibility/2006">
    <mc:Choice Requires="x15">
      <x15ac:absPath xmlns:x15ac="http://schemas.microsoft.com/office/spreadsheetml/2010/11/ac" url="D:\working\waccache\DM3PEPF00013DCA\EXCELCNV\308611cb-bdb2-4b56-86dd-1b2f1aeda3ea\"/>
    </mc:Choice>
  </mc:AlternateContent>
  <xr:revisionPtr revIDLastSave="0" documentId="8_{0862E5C0-78E1-45E7-BB95-83016FF56195}" xr6:coauthVersionLast="47" xr6:coauthVersionMax="47" xr10:uidLastSave="{00000000-0000-0000-0000-000000000000}"/>
  <bookViews>
    <workbookView xWindow="-60" yWindow="-60" windowWidth="15480" windowHeight="11640" xr2:uid="{653859A4-2F4D-48D4-84C0-F2A06726FAEC}"/>
  </bookViews>
  <sheets>
    <sheet name="1-304396-875000-875219" sheetId="1" r:id="rId1"/>
    <sheet name="Budget Detail" sheetId="4" r:id="rId2"/>
  </sheets>
  <definedNames>
    <definedName name="_Key1" hidden="1">'1-304396-875000-875219'!#REF!</definedName>
    <definedName name="_Key2" hidden="1">'1-304396-875000-875219'!#REF!</definedName>
    <definedName name="_Order1" hidden="1">255</definedName>
    <definedName name="_Order2" hidden="1">255</definedName>
    <definedName name="_Sort" hidden="1">'1-304396-875000-875219'!#REF!</definedName>
    <definedName name="Balance">'1-304396-875000-875219'!$J$124</definedName>
    <definedName name="_xlnm.Print_Area" localSheetId="0">'1-304396-875000-875219'!$A$1:$J$128</definedName>
    <definedName name="Print_Area_MI" localSheetId="0">'1-304396-875000-875219'!#REF!</definedName>
    <definedName name="_xlnm.Print_Titles" localSheetId="0">'1-304396-875000-875219'!$1:$5</definedName>
    <definedName name="Print_Titles_MI" localSheetId="0">'1-304396-875000-875219'!$2:$5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22" i="1" l="1"/>
  <c r="L122" i="1"/>
  <c r="D121" i="1"/>
  <c r="D120" i="1"/>
  <c r="L119" i="1"/>
  <c r="D119" i="1"/>
  <c r="I119" i="1"/>
  <c r="D118" i="1"/>
  <c r="I118" i="1"/>
  <c r="D117" i="1"/>
  <c r="I117" i="1"/>
  <c r="D116" i="1"/>
  <c r="L117" i="1"/>
  <c r="L115" i="1"/>
  <c r="D115" i="1"/>
  <c r="I115" i="1"/>
  <c r="D114" i="1"/>
  <c r="I114" i="1"/>
  <c r="D113" i="1"/>
  <c r="I113" i="1"/>
  <c r="K113" i="1"/>
  <c r="L113" i="1"/>
  <c r="L112" i="1"/>
  <c r="L110" i="1"/>
  <c r="D110" i="1"/>
  <c r="I110" i="1"/>
  <c r="D109" i="1"/>
  <c r="I109" i="1"/>
  <c r="D108" i="1"/>
  <c r="I108" i="1"/>
  <c r="D107" i="1"/>
  <c r="I107" i="1"/>
  <c r="D106" i="1"/>
  <c r="I106" i="1"/>
  <c r="D103" i="1"/>
  <c r="I103" i="1"/>
  <c r="D105" i="1"/>
  <c r="I105" i="1"/>
  <c r="D104" i="1"/>
  <c r="I104" i="1"/>
  <c r="L105" i="1"/>
  <c r="D101" i="1"/>
  <c r="I101" i="1"/>
  <c r="D100" i="1"/>
  <c r="I100" i="1"/>
  <c r="D99" i="1"/>
  <c r="I99" i="1"/>
  <c r="D98" i="1"/>
  <c r="I98" i="1"/>
  <c r="D96" i="1"/>
  <c r="I96" i="1"/>
  <c r="D95" i="1"/>
  <c r="I95" i="1"/>
  <c r="I122" i="1"/>
  <c r="K122" i="1" s="1"/>
  <c r="I120" i="1"/>
  <c r="I121" i="1"/>
  <c r="I116" i="1"/>
  <c r="D112" i="1"/>
  <c r="I112" i="1"/>
  <c r="D111" i="1"/>
  <c r="I111" i="1"/>
  <c r="L101" i="1"/>
  <c r="I102" i="1"/>
  <c r="D97" i="1"/>
  <c r="I97" i="1"/>
  <c r="D94" i="1"/>
  <c r="I94" i="1"/>
  <c r="D93" i="1"/>
  <c r="I93" i="1"/>
  <c r="D92" i="1"/>
  <c r="I92" i="1"/>
  <c r="D91" i="1"/>
  <c r="I91" i="1"/>
  <c r="D90" i="1"/>
  <c r="I90" i="1"/>
  <c r="L94" i="1"/>
  <c r="D89" i="1"/>
  <c r="I89" i="1"/>
  <c r="D88" i="1"/>
  <c r="I88" i="1"/>
  <c r="D87" i="1"/>
  <c r="I87" i="1"/>
  <c r="L89" i="1"/>
  <c r="D82" i="1"/>
  <c r="I82" i="1"/>
  <c r="D79" i="1"/>
  <c r="I79" i="1"/>
  <c r="D86" i="1"/>
  <c r="I86" i="1"/>
  <c r="D85" i="1"/>
  <c r="I85" i="1"/>
  <c r="D84" i="1"/>
  <c r="I84" i="1"/>
  <c r="D83" i="1"/>
  <c r="I83" i="1"/>
  <c r="D81" i="1"/>
  <c r="I81" i="1"/>
  <c r="D80" i="1"/>
  <c r="I80" i="1"/>
  <c r="D78" i="1"/>
  <c r="I78" i="1"/>
  <c r="D77" i="1"/>
  <c r="I77" i="1"/>
  <c r="D76" i="1"/>
  <c r="I76" i="1"/>
  <c r="D75" i="1"/>
  <c r="I75" i="1"/>
  <c r="L86" i="1"/>
  <c r="F74" i="1"/>
  <c r="F124" i="1"/>
  <c r="L73" i="1"/>
  <c r="I73" i="1"/>
  <c r="I72" i="1"/>
  <c r="L71" i="1"/>
  <c r="I71" i="1"/>
  <c r="I70" i="1"/>
  <c r="I68" i="1"/>
  <c r="L67" i="1"/>
  <c r="I66" i="1"/>
  <c r="L65" i="1"/>
  <c r="L62" i="1"/>
  <c r="G124" i="1"/>
  <c r="H124" i="1"/>
  <c r="I62" i="1"/>
  <c r="I61" i="1"/>
  <c r="I60" i="1"/>
  <c r="I59" i="1"/>
  <c r="I58" i="1"/>
  <c r="I56" i="1"/>
  <c r="I55" i="1"/>
  <c r="I54" i="1"/>
  <c r="I49" i="1"/>
  <c r="I48" i="1"/>
  <c r="I47" i="1"/>
  <c r="I46" i="1"/>
  <c r="I41" i="1"/>
  <c r="I40" i="1"/>
  <c r="I33" i="1"/>
  <c r="I32" i="1"/>
  <c r="I31" i="1"/>
  <c r="I30" i="1"/>
  <c r="I29" i="1"/>
  <c r="I28" i="1"/>
  <c r="I27" i="1"/>
  <c r="I18" i="1"/>
  <c r="I17" i="1"/>
  <c r="I16" i="1"/>
  <c r="I14" i="1"/>
  <c r="I13" i="1"/>
  <c r="I67" i="1"/>
  <c r="I65" i="1"/>
  <c r="I64" i="1"/>
  <c r="I63" i="1"/>
  <c r="I12" i="1"/>
  <c r="I9" i="1"/>
  <c r="I8" i="1"/>
  <c r="K8" i="1"/>
  <c r="I7" i="1"/>
  <c r="K7" i="1"/>
  <c r="L51" i="1"/>
  <c r="L59" i="1"/>
  <c r="L18" i="1"/>
  <c r="D57" i="1"/>
  <c r="I57" i="1"/>
  <c r="D52" i="1"/>
  <c r="I52" i="1"/>
  <c r="D53" i="1"/>
  <c r="I53" i="1"/>
  <c r="D51" i="1"/>
  <c r="I51" i="1"/>
  <c r="D50" i="1"/>
  <c r="I50" i="1"/>
  <c r="D44" i="1"/>
  <c r="I44" i="1"/>
  <c r="D43" i="1"/>
  <c r="I43" i="1"/>
  <c r="D45" i="1"/>
  <c r="D42" i="1"/>
  <c r="I42" i="1"/>
  <c r="D38" i="1"/>
  <c r="I38" i="1"/>
  <c r="D39" i="1"/>
  <c r="I39" i="1"/>
  <c r="D37" i="1"/>
  <c r="I37" i="1"/>
  <c r="D36" i="1"/>
  <c r="I36" i="1"/>
  <c r="D35" i="1"/>
  <c r="I35" i="1"/>
  <c r="D34" i="1"/>
  <c r="I34" i="1"/>
  <c r="D24" i="1"/>
  <c r="I24" i="1"/>
  <c r="D23" i="1"/>
  <c r="I23" i="1"/>
  <c r="D22" i="1"/>
  <c r="I22" i="1"/>
  <c r="D21" i="1"/>
  <c r="I21" i="1"/>
  <c r="D20" i="1"/>
  <c r="I20" i="1"/>
  <c r="D19" i="1"/>
  <c r="I19" i="1"/>
  <c r="D26" i="1"/>
  <c r="I26" i="1"/>
  <c r="D25" i="1"/>
  <c r="I25" i="1"/>
  <c r="C45" i="1"/>
  <c r="D15" i="1"/>
  <c r="I15" i="1"/>
  <c r="L13" i="1"/>
  <c r="D11" i="1"/>
  <c r="I11" i="1"/>
  <c r="D10" i="1"/>
  <c r="I10" i="1"/>
  <c r="F106" i="4"/>
  <c r="F105" i="4"/>
  <c r="F104" i="4"/>
  <c r="F103" i="4"/>
  <c r="F102" i="4"/>
  <c r="F98" i="4"/>
  <c r="F97" i="4"/>
  <c r="F107" i="4" s="1"/>
  <c r="F93" i="4"/>
  <c r="F92" i="4"/>
  <c r="F91" i="4"/>
  <c r="F90" i="4"/>
  <c r="F89" i="4"/>
  <c r="F88" i="4"/>
  <c r="F87" i="4"/>
  <c r="F86" i="4"/>
  <c r="F85" i="4"/>
  <c r="F84" i="4"/>
  <c r="F94" i="4"/>
  <c r="F80" i="4"/>
  <c r="F79" i="4"/>
  <c r="F78" i="4"/>
  <c r="F77" i="4"/>
  <c r="F76" i="4"/>
  <c r="F75" i="4"/>
  <c r="F74" i="4"/>
  <c r="F73" i="4"/>
  <c r="F72" i="4"/>
  <c r="F81" i="4"/>
  <c r="F67" i="4"/>
  <c r="F66" i="4"/>
  <c r="F65" i="4"/>
  <c r="F64" i="4"/>
  <c r="F63" i="4"/>
  <c r="F62" i="4"/>
  <c r="F61" i="4"/>
  <c r="F60" i="4"/>
  <c r="F59" i="4"/>
  <c r="F58" i="4"/>
  <c r="F68" i="4"/>
  <c r="F54" i="4"/>
  <c r="F53" i="4"/>
  <c r="F52" i="4"/>
  <c r="F51" i="4"/>
  <c r="F50" i="4"/>
  <c r="F49" i="4"/>
  <c r="F48" i="4"/>
  <c r="F47" i="4"/>
  <c r="F46" i="4"/>
  <c r="F45" i="4"/>
  <c r="F55" i="4"/>
  <c r="F109" i="4"/>
  <c r="J6" i="1"/>
  <c r="I69" i="1"/>
  <c r="K121" i="1"/>
  <c r="K115" i="1"/>
  <c r="K73" i="1"/>
  <c r="K119" i="1"/>
  <c r="K117" i="1"/>
  <c r="I45" i="1"/>
  <c r="K51" i="1"/>
  <c r="K65" i="1"/>
  <c r="K112" i="1"/>
  <c r="C124" i="1"/>
  <c r="K37" i="1"/>
  <c r="K18" i="1"/>
  <c r="K42" i="1"/>
  <c r="K13" i="1"/>
  <c r="K89" i="1"/>
  <c r="K94" i="1"/>
  <c r="D124" i="1"/>
  <c r="K59" i="1"/>
  <c r="J7" i="1"/>
  <c r="J8" i="1"/>
  <c r="J9" i="1"/>
  <c r="J10" i="1"/>
  <c r="J11" i="1"/>
  <c r="J12" i="1"/>
  <c r="J13" i="1"/>
  <c r="J14" i="1"/>
  <c r="J15" i="1"/>
  <c r="J16" i="1"/>
  <c r="J17" i="1"/>
  <c r="J18" i="1"/>
  <c r="J19" i="1"/>
  <c r="J20" i="1"/>
  <c r="J21" i="1"/>
  <c r="J22" i="1"/>
  <c r="J23" i="1"/>
  <c r="J24" i="1"/>
  <c r="J25" i="1"/>
  <c r="J26" i="1"/>
  <c r="J27" i="1"/>
  <c r="J28" i="1"/>
  <c r="J29" i="1"/>
  <c r="J30" i="1"/>
  <c r="J31" i="1"/>
  <c r="J32" i="1"/>
  <c r="J33" i="1"/>
  <c r="J34" i="1"/>
  <c r="J35" i="1"/>
  <c r="J36" i="1"/>
  <c r="J37" i="1"/>
  <c r="J38" i="1"/>
  <c r="J39" i="1"/>
  <c r="J40" i="1"/>
  <c r="J41" i="1"/>
  <c r="J42" i="1"/>
  <c r="J43" i="1"/>
  <c r="J44" i="1"/>
  <c r="K67" i="1"/>
  <c r="K62" i="1"/>
  <c r="I74" i="1"/>
  <c r="K86" i="1"/>
  <c r="K71" i="1"/>
  <c r="K110" i="1"/>
  <c r="K105" i="1"/>
  <c r="E124" i="1"/>
  <c r="K97" i="1"/>
  <c r="K101" i="1"/>
  <c r="J45" i="1"/>
  <c r="J46" i="1"/>
  <c r="J47" i="1"/>
  <c r="J48" i="1"/>
  <c r="J49" i="1"/>
  <c r="J50" i="1"/>
  <c r="J51" i="1"/>
  <c r="J52" i="1"/>
  <c r="J53" i="1"/>
  <c r="J54" i="1"/>
  <c r="J55" i="1"/>
  <c r="J56" i="1"/>
  <c r="J57" i="1"/>
  <c r="J58" i="1"/>
  <c r="J59" i="1"/>
  <c r="J60" i="1"/>
  <c r="J61" i="1"/>
  <c r="J62" i="1"/>
  <c r="J63" i="1"/>
  <c r="J64" i="1"/>
  <c r="J65" i="1"/>
  <c r="J66" i="1"/>
  <c r="J67" i="1"/>
  <c r="J68" i="1"/>
  <c r="J69" i="1"/>
  <c r="J70" i="1"/>
  <c r="J71" i="1"/>
  <c r="J72" i="1"/>
  <c r="J73" i="1"/>
  <c r="J74" i="1"/>
  <c r="J75" i="1"/>
  <c r="J76" i="1"/>
  <c r="J77" i="1"/>
  <c r="J78" i="1"/>
  <c r="J79" i="1"/>
  <c r="J80" i="1"/>
  <c r="J81" i="1"/>
  <c r="J82" i="1"/>
  <c r="J83" i="1"/>
  <c r="J84" i="1"/>
  <c r="J85" i="1"/>
  <c r="J86" i="1"/>
  <c r="J87" i="1"/>
  <c r="J88" i="1"/>
  <c r="J89" i="1"/>
  <c r="J90" i="1"/>
  <c r="J91" i="1"/>
  <c r="J92" i="1"/>
  <c r="J93" i="1"/>
  <c r="J94" i="1"/>
  <c r="J95" i="1"/>
  <c r="J96" i="1"/>
  <c r="J97" i="1"/>
  <c r="J98" i="1"/>
  <c r="J99" i="1"/>
  <c r="J100" i="1"/>
  <c r="J101" i="1"/>
  <c r="J102" i="1"/>
  <c r="J103" i="1"/>
  <c r="J104" i="1"/>
  <c r="J105" i="1"/>
  <c r="J106" i="1"/>
  <c r="J107" i="1"/>
  <c r="J108" i="1"/>
  <c r="J109" i="1"/>
  <c r="J110" i="1"/>
  <c r="J111" i="1"/>
  <c r="J112" i="1"/>
  <c r="J113" i="1"/>
  <c r="J114" i="1"/>
  <c r="J115" i="1"/>
  <c r="J116" i="1"/>
  <c r="J117" i="1"/>
  <c r="J118" i="1"/>
  <c r="J119" i="1"/>
  <c r="J120" i="1"/>
  <c r="J121" i="1"/>
  <c r="J122" i="1"/>
  <c r="I124" i="1"/>
  <c r="J124"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Sullan, Kelly J</author>
  </authors>
  <commentList>
    <comment ref="D4" authorId="0" shapeId="0" xr:uid="{9F99D17D-1A5A-4E4F-9C3E-15424283AB55}">
      <text>
        <r>
          <rPr>
            <b/>
            <sz val="9"/>
            <color indexed="81"/>
            <rFont val="Tahoma"/>
            <family val="2"/>
          </rPr>
          <t>FY23: .002203</t>
        </r>
      </text>
    </comment>
  </commentList>
</comments>
</file>

<file path=xl/sharedStrings.xml><?xml version="1.0" encoding="utf-8"?>
<sst xmlns="http://schemas.openxmlformats.org/spreadsheetml/2006/main" count="258" uniqueCount="245">
  <si>
    <t>STUDENT SUSTAINABILITY COMMITTEE (SSC) PROJECT - ENHANCING ECOSYSTEM SERVICES IN THE</t>
  </si>
  <si>
    <t>McSWEENEY, KEVIN</t>
  </si>
  <si>
    <t xml:space="preserve">   SOUTHERN ARBORETUM WOODLANDS (SAW): HABITAT</t>
  </si>
  <si>
    <t>1-304396-875000-acctcd-875219</t>
  </si>
  <si>
    <t>SALARY &amp;</t>
  </si>
  <si>
    <t>FRINGE</t>
  </si>
  <si>
    <t>DOMESTIC</t>
  </si>
  <si>
    <t>MATERIALS &amp;</t>
  </si>
  <si>
    <t>CONTRACTUAL</t>
  </si>
  <si>
    <t>TOTAL</t>
  </si>
  <si>
    <t>BALANCE</t>
  </si>
  <si>
    <t>SSC-ENHANCING ECOSYSTM SVCS SAW</t>
  </si>
  <si>
    <t>DATE</t>
  </si>
  <si>
    <t>WAGES</t>
  </si>
  <si>
    <t>BENEFITS</t>
  </si>
  <si>
    <t>TRAVEL</t>
  </si>
  <si>
    <t>SUPPLIES</t>
  </si>
  <si>
    <t>SERVICES</t>
  </si>
  <si>
    <t>AWARD</t>
  </si>
  <si>
    <t>EXPENSE</t>
  </si>
  <si>
    <t>AVAILABLE</t>
  </si>
  <si>
    <t>Please contact the NRES Business Office at nres-busofc@illinois.edu with any questions regarding this fund</t>
  </si>
  <si>
    <t>monthly totals</t>
  </si>
  <si>
    <t>reconciliation</t>
  </si>
  <si>
    <t>status</t>
  </si>
  <si>
    <t>BEGINNING BALANCE</t>
  </si>
  <si>
    <t>TRANSF FROM 1-303692 TO 1-304396 J2929150</t>
  </si>
  <si>
    <t>BALANCED @ 02/28/21</t>
  </si>
  <si>
    <t>FY21 P09 NON-PAYROLL EXPENSES</t>
  </si>
  <si>
    <t>BALANCED @ 03/31/21</t>
  </si>
  <si>
    <t>AR078618 RETURN TO MAIN SSC FUND J2952711</t>
  </si>
  <si>
    <t>CAMPBELL NOAH 21MN03 02/16 - 03/15/21</t>
  </si>
  <si>
    <t>transferred from 1-626245-875010-191300</t>
  </si>
  <si>
    <t>CAMPBELL NOAH 21MN04 03/16 - 04/15/21</t>
  </si>
  <si>
    <t>INV INC DIST - QTR:3 AR078618</t>
  </si>
  <si>
    <t>FY21 P10 NON-PAYROLL EXPENSES</t>
  </si>
  <si>
    <t>BALANCED @ 04/30/21</t>
  </si>
  <si>
    <t>ALVAREZ KASANDRA 21BW11 05/02 - 05/15/21</t>
  </si>
  <si>
    <t>CAMPBELL NOAH 21MN05 04/16 - 05/15/21</t>
  </si>
  <si>
    <t>MILLER ERIN 21BW09 04/04 - 04/17/21</t>
  </si>
  <si>
    <t>transferred from 1-303692-875010-875213</t>
  </si>
  <si>
    <t>MILLER ERIN 21BW10 04/18 - 05/01/21</t>
  </si>
  <si>
    <t>FY21 P11 NON-PAYROLL EXPENSES</t>
  </si>
  <si>
    <t>BALANCED @ 05/31/21</t>
  </si>
  <si>
    <t>ALVAREZ KASANDRA 21BW12 05/16 - 05/29/21</t>
  </si>
  <si>
    <t>ALVAREZ KASANDRA 21BW13 05/30 - 06/12/21</t>
  </si>
  <si>
    <t>BACHTOLD GARRETT 21BW12 05/16 - 05/29/21</t>
  </si>
  <si>
    <t>BACHTOLD GARRETT 21BW13 05/30 - 06/12/21</t>
  </si>
  <si>
    <t>BACHTOLD GARRETT 21BW14 06/13 - 06/26/21</t>
  </si>
  <si>
    <r>
      <t xml:space="preserve">BACHTOLD GARRETT 21BW15 06/27 - </t>
    </r>
    <r>
      <rPr>
        <b/>
        <sz val="12"/>
        <rFont val="Arial"/>
        <family val="2"/>
      </rPr>
      <t>06/30/21</t>
    </r>
  </si>
  <si>
    <t>CAMPBELL NOAH 21MN06 05/16 - 06/15/21</t>
  </si>
  <si>
    <t>CAMPBELL NOAH 21MN07 06/16 - 06/30/21</t>
  </si>
  <si>
    <t>DZIANOTT MICHAEL 21BW12 05/16 - 05/29/21</t>
  </si>
  <si>
    <t>DZIANOTT MICHAEL 21BW13 05/30 - 06/12/21</t>
  </si>
  <si>
    <t>DZIANOTT MICHAEL 21BW14 06/13 - 06/26/21</t>
  </si>
  <si>
    <r>
      <t xml:space="preserve">DZIANOTT MICHAEL 21BW15 06/27 - </t>
    </r>
    <r>
      <rPr>
        <b/>
        <sz val="12"/>
        <rFont val="Arial"/>
        <family val="2"/>
      </rPr>
      <t>06/30/21</t>
    </r>
  </si>
  <si>
    <t>FY21 P12 NON-PAYROLL EXPENSES</t>
  </si>
  <si>
    <t>O'LEARY ELOISE 21BW14 06/13 - 06/26/21</t>
  </si>
  <si>
    <r>
      <t xml:space="preserve">O'LEARY ELOISE 21BW15 06/27 - </t>
    </r>
    <r>
      <rPr>
        <b/>
        <sz val="12"/>
        <rFont val="Arial"/>
        <family val="2"/>
      </rPr>
      <t>06/30/21</t>
    </r>
  </si>
  <si>
    <t>YODER ADAM 21BW12 05/16 - 05/29/21</t>
  </si>
  <si>
    <t>YODER ADAM 21BW13 05/30 - 06/12/21</t>
  </si>
  <si>
    <t>YODER ADAM 21BW14 06/13 - 06/26/21</t>
  </si>
  <si>
    <r>
      <t xml:space="preserve">YODER ADAM 21BW15 06/27 - </t>
    </r>
    <r>
      <rPr>
        <b/>
        <sz val="12"/>
        <rFont val="Arial"/>
        <family val="2"/>
      </rPr>
      <t>06/30/21</t>
    </r>
  </si>
  <si>
    <t>BALANCED @ 06/30/21</t>
  </si>
  <si>
    <r>
      <t xml:space="preserve">BACHTOLD GARRETT 21BW15 </t>
    </r>
    <r>
      <rPr>
        <b/>
        <sz val="12"/>
        <color indexed="8"/>
        <rFont val="Arial"/>
        <family val="2"/>
      </rPr>
      <t>07/01</t>
    </r>
    <r>
      <rPr>
        <sz val="12"/>
        <color indexed="8"/>
        <rFont val="Arial"/>
        <family val="2"/>
      </rPr>
      <t xml:space="preserve"> - 07/10/21</t>
    </r>
  </si>
  <si>
    <r>
      <t xml:space="preserve">CAMPBELL NOAH 21MN07 </t>
    </r>
    <r>
      <rPr>
        <b/>
        <sz val="12"/>
        <color indexed="8"/>
        <rFont val="Arial"/>
        <family val="2"/>
      </rPr>
      <t>07/01</t>
    </r>
    <r>
      <rPr>
        <sz val="12"/>
        <color indexed="8"/>
        <rFont val="Arial"/>
        <family val="2"/>
      </rPr>
      <t xml:space="preserve"> - 07/15/21</t>
    </r>
  </si>
  <si>
    <r>
      <t xml:space="preserve">DZIANOTT MICHAEL 21BW15 </t>
    </r>
    <r>
      <rPr>
        <b/>
        <sz val="12"/>
        <color indexed="8"/>
        <rFont val="Arial"/>
        <family val="2"/>
      </rPr>
      <t>07/01</t>
    </r>
    <r>
      <rPr>
        <sz val="12"/>
        <color indexed="8"/>
        <rFont val="Arial"/>
        <family val="2"/>
      </rPr>
      <t xml:space="preserve"> - 07/10/21</t>
    </r>
  </si>
  <si>
    <r>
      <t xml:space="preserve">O'LEARY ELOISE 21BW15 </t>
    </r>
    <r>
      <rPr>
        <b/>
        <sz val="12"/>
        <color indexed="8"/>
        <rFont val="Arial"/>
        <family val="2"/>
      </rPr>
      <t>07/01</t>
    </r>
    <r>
      <rPr>
        <sz val="12"/>
        <color indexed="8"/>
        <rFont val="Arial"/>
        <family val="2"/>
      </rPr>
      <t xml:space="preserve"> - 07/10/21</t>
    </r>
  </si>
  <si>
    <r>
      <t xml:space="preserve">YODER ADAM 21BW15 </t>
    </r>
    <r>
      <rPr>
        <b/>
        <sz val="12"/>
        <color indexed="8"/>
        <rFont val="Arial"/>
        <family val="2"/>
      </rPr>
      <t>07/01</t>
    </r>
    <r>
      <rPr>
        <sz val="12"/>
        <color indexed="8"/>
        <rFont val="Arial"/>
        <family val="2"/>
      </rPr>
      <t xml:space="preserve"> - 07/10/21</t>
    </r>
  </si>
  <si>
    <t>BALANCED @ 07/31/21</t>
  </si>
  <si>
    <t>BACHTOLD GARRETT 21BW16 07/11 - 07/24/21</t>
  </si>
  <si>
    <t>BACHTOLD GARRETT 21BW17 07/25 - 08/07/21</t>
  </si>
  <si>
    <t>CAMPBELL NOAH 21MN08 07/16 - 08/15/21</t>
  </si>
  <si>
    <t>DZIANOTT MICHAEL 21BW16 07/11 - 07/24/21</t>
  </si>
  <si>
    <t>DZIANOTT MICHAEL 21BW17 07/25 - 08/07/21</t>
  </si>
  <si>
    <t>O'LEARY ELOISE 21BW16 07/11 - 07/24/21</t>
  </si>
  <si>
    <t>O'LEARY ELOISE 21BW17 07/25 - 08/07/21</t>
  </si>
  <si>
    <t>YODER ADAM 21BW16 07/11 - 07/24/21</t>
  </si>
  <si>
    <t>YODER ADAM 21BW17 07/25 - 08/07/21</t>
  </si>
  <si>
    <t>BALANCED @ 08/31/21</t>
  </si>
  <si>
    <t>BACHTOLD GARRETT 21BW18 08/08 - 08/21/21</t>
  </si>
  <si>
    <r>
      <t xml:space="preserve">CAMPBELL NOAH 21MN09 08/16 - </t>
    </r>
    <r>
      <rPr>
        <b/>
        <sz val="12"/>
        <color indexed="8"/>
        <rFont val="Arial"/>
        <family val="2"/>
      </rPr>
      <t>08/27/21</t>
    </r>
  </si>
  <si>
    <t>DZIANOTT MICHAEL 21BW18 08/08 - 08/21/21</t>
  </si>
  <si>
    <t>FY22 P03 NON-PAYROLL EXPENSES</t>
  </si>
  <si>
    <t>O'LEARY ELOISE 21BW18 08/08 - 08/21/21</t>
  </si>
  <si>
    <t>YODER ADAM 21BW18 08/08 - 08/21/21</t>
  </si>
  <si>
    <t>YODER ADAM 21BW19 08/22 - 09/04/21</t>
  </si>
  <si>
    <t>YODER ADAM 21BW20 09/05 - 09/18/21</t>
  </si>
  <si>
    <t>BALANCED @ 09/30/21</t>
  </si>
  <si>
    <t>FY22 P04 NON-PAYROLL EXPENSES</t>
  </si>
  <si>
    <t>YODER ADAM 21BW21 09/19 - 10/02/21</t>
  </si>
  <si>
    <t>YODER ADAM 21BW22 10/03 - 10/16/21</t>
  </si>
  <si>
    <t>BALANCED @ 10/31/21</t>
  </si>
  <si>
    <t>FY22 P05 NON-PAYROLL EXPENSES</t>
  </si>
  <si>
    <t>YODER ADAM 21BW23 10/17 - 10/30/21</t>
  </si>
  <si>
    <t>YODER ADAM 21BW24 10/31 - 11/13/21</t>
  </si>
  <si>
    <t>BALANCED @ 11/30/21</t>
  </si>
  <si>
    <t>YODER ADAM 21BW25 11/14 - 11/27/21</t>
  </si>
  <si>
    <t>YODER ADAM 21BW26 11/28 - 12/11/21</t>
  </si>
  <si>
    <t>BALANCED @ 03/31/22</t>
  </si>
  <si>
    <t>HOME NURSERY-ALBERS TE035067 010026128223</t>
  </si>
  <si>
    <t>RURAL KING CHAMPAIGN #4 TE033980 010026068443</t>
  </si>
  <si>
    <t>YODER ADAM 22BW08 03/20 - 04/02/22</t>
  </si>
  <si>
    <t>YODER ADAM 22BW09 04/03 - 04/16/22</t>
  </si>
  <si>
    <t>BALANCED @ 04/30/22</t>
  </si>
  <si>
    <t>ACE HARDWARE TE059104 0100-2658-0671</t>
  </si>
  <si>
    <t>YODER ADAM 22BW10 04/17 - 04/30/22</t>
  </si>
  <si>
    <t>BALANCED @ 05/31/22</t>
  </si>
  <si>
    <t xml:space="preserve">AM LEONARD TE064988 </t>
  </si>
  <si>
    <t>EVANS ELLEN 22BW12 05/15 - 05/28/22</t>
  </si>
  <si>
    <t>EVANS ELLEN 22BW13 05/29 - 06/11/22</t>
  </si>
  <si>
    <t>EVANS ELLEN 22BW14 06/12 - 06/25/22</t>
  </si>
  <si>
    <t>EVANS ELLEN 22BW15 06/26 - 06/30/22</t>
  </si>
  <si>
    <t>SHOTTON LYDIA 22BW12 05/15 - 05/28/22</t>
  </si>
  <si>
    <t>SHOTTON LYDIA 22BW13 05/29 - 06/11/22</t>
  </si>
  <si>
    <t>SHOTTON LYDIA 22BW14 06/12 - 06/25/22</t>
  </si>
  <si>
    <t>SHOTTON LYDIA 22BW15 06/26 - 06/30/22</t>
  </si>
  <si>
    <t>YODER ADAM 22BW12 05/15 - 05/28/22</t>
  </si>
  <si>
    <t>YODER ADAM 22BW13 05/29 - 06/11/22</t>
  </si>
  <si>
    <t>YODER ADAM 22BW14 06/12 - 06/25/22</t>
  </si>
  <si>
    <t>YODER ADAM 22BW15 06/26 - 06/30/22</t>
  </si>
  <si>
    <t>BALANCED @ 06/30/22</t>
  </si>
  <si>
    <t>EVANS ELLEN 22BW15 07/01 - 07/09/22</t>
  </si>
  <si>
    <t>SHOTTON LYDIA 22BW15 07/01 - 07/09/22</t>
  </si>
  <si>
    <t>YODER ADAM 22BW15 07/01 - 07/09/22</t>
  </si>
  <si>
    <t>BALANCED @ 07/31/22</t>
  </si>
  <si>
    <t>SHOTTON LYDIA 22BW16 07/10 - 07/23/22</t>
  </si>
  <si>
    <t>SHOTTON LYDIA 22BW17 07/24 - 08/06/22</t>
  </si>
  <si>
    <t>SHOTTON LYDIA 22BW18 08/07 - 08/20/22</t>
  </si>
  <si>
    <t>YODER ADAM 22BW16 07/10 - 07/23/22</t>
  </si>
  <si>
    <t>YODER ADAM 22BW17 07/24 - 08/06/22</t>
  </si>
  <si>
    <t>BALANCED @ 09/30/22</t>
  </si>
  <si>
    <t>YODER ADAM 22BW19 08/21 - 09/03/22</t>
  </si>
  <si>
    <t>YODER ADAM 22BW20 09/04 - 09/17/22</t>
  </si>
  <si>
    <t>YODER ADAM 22BW21 09/18 - 10/01/22</t>
  </si>
  <si>
    <t>BALANCED @ 10/31/22</t>
  </si>
  <si>
    <t>ROSS CONNOR 22BW23 10/16 - 10/29/22</t>
  </si>
  <si>
    <t>ROSS CONNOR 22BW24 10/30 - 11/12/22</t>
  </si>
  <si>
    <t>YODER ADAM 22BW23 10/16 - 10/29/22</t>
  </si>
  <si>
    <t>YODER ADAM 22BW24 10/30 - 11/12/22</t>
  </si>
  <si>
    <t>BALANCED @ 11/30/22</t>
  </si>
  <si>
    <t>FARM &amp; FLEET OF URBANA TE216254 010029333529</t>
  </si>
  <si>
    <t>ROSS CONNOR 22BW25 11/13 - 11/26/22</t>
  </si>
  <si>
    <t>YODER ADAM 22BW25 11/13 - 11/26/22</t>
  </si>
  <si>
    <t>YODER ADAM 22BW26 11/27 - 12/10/22</t>
  </si>
  <si>
    <t>BALANCED @ 12/31/22</t>
  </si>
  <si>
    <t>ROSS CONNOR 23BW01 12/11 - 12/24/22</t>
  </si>
  <si>
    <t>ROSS CONNOR 23BW02 12/25/22 - 01/07/23</t>
  </si>
  <si>
    <t>YODER ADAM 22BW22 10/02 - 10/15/22</t>
  </si>
  <si>
    <t>YODER ADAM 23BW01 12/11 - 12/24/22</t>
  </si>
  <si>
    <t>YODER ADAM 23BW02 12/25/22 - 01/07/23</t>
  </si>
  <si>
    <t>BALANCED @ 01/31/23</t>
  </si>
  <si>
    <t>YODER ADAM 23BW03 01/08 - 01/21/23</t>
  </si>
  <si>
    <t>YODER ADAM 23BW04 01/22 - 02/04/23</t>
  </si>
  <si>
    <t>BALANCED @ 07/31/23</t>
  </si>
  <si>
    <t>CRUZ GARCIA JUAN 23BW18 08/06 - 08/19/23</t>
  </si>
  <si>
    <t>BALANCED @ 08/31/23</t>
  </si>
  <si>
    <t>CRUZ GARCIA JUAN 23BW19 08/20 - 09/02/23</t>
  </si>
  <si>
    <t>CRUZ GARCIA JUAN 23BW20 09/03 - 09/16/23</t>
  </si>
  <si>
    <t>BALANCED @ 09/30/23</t>
  </si>
  <si>
    <t>CRUZ GARCIA JUAN 23BW21 09/17 - 09/30/23</t>
  </si>
  <si>
    <t>CRUZ GARCIA JUAN 23BW22 10/01 - 10/14/23</t>
  </si>
  <si>
    <t>BALANCED @ 10/31/23</t>
  </si>
  <si>
    <t>CRUZ GARCIA JUAN 23BW23 10/15 - 10/28/23</t>
  </si>
  <si>
    <t>CRUZ GARCIA JUAN 23BW24 10/29 - 11/11/23</t>
  </si>
  <si>
    <t>BALANCED @ 11/30/23</t>
  </si>
  <si>
    <t>CRUZ GARCIA JUAN 23BW25 11/12 - 11/25/23</t>
  </si>
  <si>
    <t>CRUZ GARCIA JUAN 23BW26 11/26 - 12/09/23</t>
  </si>
  <si>
    <t>BALANCED @ 12/31/23</t>
  </si>
  <si>
    <t>CRUZ GARCIA JUAN 24BW01 12/10 - 12/23/23</t>
  </si>
  <si>
    <t>BALANCED @ 06/30/24</t>
  </si>
  <si>
    <t>SUBTOTAL</t>
  </si>
  <si>
    <t>This proposal directly salary/wages and fringe benefits ($89,880), materials/supplies ($21,186), and contractual services ($2,000) for publicity and communication.</t>
  </si>
  <si>
    <t>No expenses prior to the award date of 05/01/20 may be placed on this funding.</t>
  </si>
  <si>
    <t>FINAL REPORT DUE MAY 2023</t>
  </si>
  <si>
    <t>Step II Application</t>
  </si>
  <si>
    <t>Please submit this completed application and supporting documentation to Sustainability-Committee@Illinois.edu.  The Working Group Chairs will be in contact with you regarding any questions about the application. If you have any questions about the application process, please contact SSC at Sustainability-Committee@illinois.edu.</t>
  </si>
  <si>
    <t>GENERAL INFORMATION</t>
  </si>
  <si>
    <t>Project Title:</t>
  </si>
  <si>
    <t>Enhancing Ecosystem Services in the Southern Arboretum Woodlands: Habitat Improvement and Reusing Lumber</t>
  </si>
  <si>
    <t>Total Amount Requested from SSC:</t>
  </si>
  <si>
    <t>Amount Requested as:</t>
  </si>
  <si>
    <t>GRANT</t>
  </si>
  <si>
    <t>(LOAN or GRANT)</t>
  </si>
  <si>
    <t>SCOPE, SCHEDULE, AND BUDGET VERIFICATION</t>
  </si>
  <si>
    <t>If the project required you to obtain information from Facilities &amp; Services Planning Division, please include that here and attach any supporting documentation.</t>
  </si>
  <si>
    <t>Scope &amp; Schedule</t>
  </si>
  <si>
    <t xml:space="preserve">What is the plan for project implementation? Describe the key steps of the project including the start date, target completion date, target date for submitting a final report, and any significant tasks or milestones in the table below. Please be as detailed as possible. Insert additional rows if necessary. </t>
  </si>
  <si>
    <t>Task</t>
  </si>
  <si>
    <t>Timeframe (# of weeks to completion)</t>
  </si>
  <si>
    <t>Estimated Completion Date</t>
  </si>
  <si>
    <t>Chainsaw Safety Training (32-hrs of OSHA-approved training; in-house)</t>
  </si>
  <si>
    <t>Beginning of Undergraduate Internships; depends on COVID</t>
  </si>
  <si>
    <t>Pesticide Applicator / Operator Training (8-hrs min.)</t>
  </si>
  <si>
    <t>Herbicide treatment of invasive herbacous species</t>
  </si>
  <si>
    <t>Summer, Fall, and Winter 2020</t>
  </si>
  <si>
    <t>Winter 2020</t>
  </si>
  <si>
    <t>Herbicide treatment of woody invasive species</t>
  </si>
  <si>
    <t>Felling, bucking, and limbing of trees</t>
  </si>
  <si>
    <t>Labor to move and/or chip woody material</t>
  </si>
  <si>
    <t>Mowing of open blocks and perimeters</t>
  </si>
  <si>
    <t>Spring, Summer, Fall 2020</t>
  </si>
  <si>
    <t>Fall 2020</t>
  </si>
  <si>
    <t>Planting Trees and understory species</t>
  </si>
  <si>
    <t>Spring, Summer and Fall 2021</t>
  </si>
  <si>
    <t>Fall 2021</t>
  </si>
  <si>
    <t>Budget</t>
  </si>
  <si>
    <t>List all budget items for which funding is being requested under the appropriate category in the following table. Include cost and total amount for each item requested. Please be as detailed as possible. Insert additional rows if necessary.</t>
  </si>
  <si>
    <t>Item</t>
  </si>
  <si>
    <t>Cost Per Item</t>
  </si>
  <si>
    <t>Quantity</t>
  </si>
  <si>
    <t>Total Request</t>
  </si>
  <si>
    <t>Equipment &amp; Construction Costs</t>
  </si>
  <si>
    <t>Chainsaw Safety Chaps (OSHA-required PPE)</t>
  </si>
  <si>
    <t>Integrated Forestry Helmet System (OSHA-required PPE)</t>
  </si>
  <si>
    <t>Leather / Mechanic's Gloves</t>
  </si>
  <si>
    <t>Backpack Spayer; piston-pump style (for herbicide application)</t>
  </si>
  <si>
    <t>Husqvarna Chainsaw; Model 550XP Mark II</t>
  </si>
  <si>
    <t>Husqvarna Chainsaw; Model 572 XP</t>
  </si>
  <si>
    <t>Nitrile-coated Gloves (15/pk)</t>
  </si>
  <si>
    <t>Herbicides, Surfactants, and Colorant (15 gallons)</t>
  </si>
  <si>
    <t>Chainsaw Fuel (VP-SEF 50:1; 5 gallon)</t>
  </si>
  <si>
    <t>Bar &amp; Chain Oil (1 gallon)</t>
  </si>
  <si>
    <t>Subtotal</t>
  </si>
  <si>
    <t>Publicity &amp; Communication</t>
  </si>
  <si>
    <t>Website Programming / Updating (40-hrs)</t>
  </si>
  <si>
    <t>Social Media (Facebook, Instagram, Twitter, YouTube, etc.); 40-hrs</t>
  </si>
  <si>
    <t>ArcGIS Online Story Maps (80-hrs)</t>
  </si>
  <si>
    <t>Personnel &amp; Wages</t>
  </si>
  <si>
    <t>Mr. Noah Campbell, Visting Academic Professional 75% Appt.</t>
  </si>
  <si>
    <t xml:space="preserve">Salary+fringe $3043/mo  </t>
  </si>
  <si>
    <t>20 months</t>
  </si>
  <si>
    <t>2020 Undergaduate Academic Hourly, Summer Semester (2)</t>
  </si>
  <si>
    <t>2020 Undergraduate Academic Hourly; Fall Semester</t>
  </si>
  <si>
    <t>2021 Undergraduate Academic Hourly; Spring Semester</t>
  </si>
  <si>
    <t>2021 Undergraduate Academic Hourly; Summer Semester (2)</t>
  </si>
  <si>
    <t>Project Budget per F&amp;S</t>
  </si>
  <si>
    <t>General Supplies &amp; Other</t>
  </si>
  <si>
    <t>Contractual Custom Milling of Logs into Lumber ($100/hr)</t>
  </si>
  <si>
    <t>Stickers for stacking sawn lumber to properly air dry</t>
  </si>
  <si>
    <t>Trees</t>
  </si>
  <si>
    <t>Forbs, Shrubs and Grasses</t>
  </si>
  <si>
    <t>Signage</t>
  </si>
  <si>
    <t>TOTAL BUDGET</t>
  </si>
  <si>
    <t>End of Application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</si>
</sst>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_(* \(#,##0.00\);_(* &quot;-&quot;??_);_(@_)"/>
    <numFmt numFmtId="164" formatCode="0.00_);[Red]\-0.00_)"/>
    <numFmt numFmtId="165" formatCode="mm/yy"/>
    <numFmt numFmtId="166" formatCode="0.00_);[Red]\(0.00\)"/>
    <numFmt numFmtId="167" formatCode="0.00_)"/>
    <numFmt numFmtId="168" formatCode="&quot;$&quot;#,##0.00;&quot;$&quot;\(#,##0.00\)"/>
  </numFmts>
  <fonts count="28">
    <font>
      <sz val="12"/>
      <name val="Arial"/>
    </font>
    <font>
      <sz val="10"/>
      <name val="Arial"/>
      <family val="2"/>
    </font>
    <font>
      <sz val="12"/>
      <name val="Arial"/>
      <family val="2"/>
    </font>
    <font>
      <sz val="8"/>
      <color indexed="17"/>
      <name val="Arial"/>
      <family val="2"/>
    </font>
    <font>
      <b/>
      <i/>
      <sz val="12"/>
      <color indexed="10"/>
      <name val="Arial"/>
      <family val="2"/>
    </font>
    <font>
      <sz val="12"/>
      <color indexed="10"/>
      <name val="Arial"/>
      <family val="2"/>
    </font>
    <font>
      <b/>
      <sz val="12"/>
      <name val="Arial"/>
      <family val="2"/>
    </font>
    <font>
      <sz val="12"/>
      <color indexed="17"/>
      <name val="Arial"/>
      <family val="2"/>
    </font>
    <font>
      <sz val="36"/>
      <color indexed="17"/>
      <name val="Calibri"/>
      <family val="2"/>
    </font>
    <font>
      <sz val="12"/>
      <color indexed="8"/>
      <name val="Calibri"/>
      <family val="2"/>
    </font>
    <font>
      <b/>
      <sz val="20"/>
      <color indexed="8"/>
      <name val="Calibri"/>
      <family val="2"/>
    </font>
    <font>
      <b/>
      <sz val="12"/>
      <color indexed="8"/>
      <name val="Calibri"/>
      <family val="2"/>
    </font>
    <font>
      <b/>
      <sz val="16"/>
      <color indexed="8"/>
      <name val="Calibri"/>
      <family val="2"/>
    </font>
    <font>
      <b/>
      <sz val="14"/>
      <color indexed="8"/>
      <name val="Calibri"/>
      <family val="2"/>
    </font>
    <font>
      <b/>
      <sz val="18"/>
      <color indexed="8"/>
      <name val="Calibri"/>
      <family val="2"/>
    </font>
    <font>
      <sz val="12"/>
      <color indexed="8"/>
      <name val="Arial"/>
      <family val="2"/>
    </font>
    <font>
      <b/>
      <sz val="12"/>
      <color indexed="8"/>
      <name val="Arial"/>
      <family val="2"/>
    </font>
    <font>
      <b/>
      <sz val="12"/>
      <color indexed="17"/>
      <name val="Arial"/>
      <family val="2"/>
    </font>
    <font>
      <b/>
      <sz val="9"/>
      <color indexed="81"/>
      <name val="Tahoma"/>
      <family val="2"/>
    </font>
    <font>
      <sz val="12"/>
      <color theme="1"/>
      <name val="Arial"/>
      <family val="2"/>
    </font>
    <font>
      <sz val="12"/>
      <color rgb="FF008000"/>
      <name val="Arial"/>
      <family val="2"/>
    </font>
    <font>
      <sz val="8"/>
      <color rgb="FF7030A0"/>
      <name val="Arial"/>
      <family val="2"/>
    </font>
    <font>
      <b/>
      <sz val="18"/>
      <color rgb="FFFF0000"/>
      <name val="Arial"/>
      <family val="2"/>
    </font>
    <font>
      <sz val="18"/>
      <color rgb="FFFF0000"/>
      <name val="Arial"/>
      <family val="2"/>
    </font>
    <font>
      <b/>
      <sz val="18"/>
      <color rgb="FF003399"/>
      <name val="Arial"/>
      <family val="2"/>
    </font>
    <font>
      <sz val="18"/>
      <color rgb="FF003399"/>
      <name val="Arial"/>
      <family val="2"/>
    </font>
    <font>
      <b/>
      <sz val="20"/>
      <color rgb="FF000090"/>
      <name val="Calibri"/>
      <family val="2"/>
    </font>
    <font>
      <b/>
      <sz val="20"/>
      <color rgb="FFE36C09"/>
      <name val="Calibri"/>
      <family val="2"/>
    </font>
  </fonts>
  <fills count="9">
    <fill>
      <patternFill patternType="none"/>
    </fill>
    <fill>
      <patternFill patternType="gray125"/>
    </fill>
    <fill>
      <patternFill patternType="solid">
        <fgColor indexed="15"/>
        <bgColor indexed="64"/>
      </patternFill>
    </fill>
    <fill>
      <patternFill patternType="solid">
        <fgColor theme="0"/>
        <bgColor indexed="64"/>
      </patternFill>
    </fill>
    <fill>
      <patternFill patternType="solid">
        <fgColor rgb="FFFFFFFF"/>
        <bgColor indexed="64"/>
      </patternFill>
    </fill>
    <fill>
      <patternFill patternType="solid">
        <fgColor rgb="FFD8D8D8"/>
        <bgColor indexed="64"/>
      </patternFill>
    </fill>
    <fill>
      <patternFill patternType="solid">
        <fgColor rgb="FFFFFF00"/>
        <bgColor indexed="64"/>
      </patternFill>
    </fill>
    <fill>
      <patternFill patternType="solid">
        <fgColor rgb="FFFF9900"/>
        <bgColor indexed="64"/>
      </patternFill>
    </fill>
    <fill>
      <patternFill patternType="solid">
        <fgColor theme="0" tint="-0.14999847407452621"/>
        <bgColor indexed="64"/>
      </patternFill>
    </fill>
  </fills>
  <borders count="25">
    <border>
      <left/>
      <right/>
      <top/>
      <bottom/>
      <diagonal/>
    </border>
    <border>
      <left/>
      <right/>
      <top/>
      <bottom style="medium">
        <color indexed="64"/>
      </bottom>
      <diagonal/>
    </border>
    <border>
      <left style="medium">
        <color indexed="64"/>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thin">
        <color indexed="64"/>
      </left>
      <right/>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right style="medium">
        <color indexed="64"/>
      </right>
      <top style="thin">
        <color indexed="64"/>
      </top>
      <bottom/>
      <diagonal/>
    </border>
    <border>
      <left/>
      <right/>
      <top style="medium">
        <color indexed="64"/>
      </top>
      <bottom style="medium">
        <color indexed="64"/>
      </bottom>
      <diagonal/>
    </border>
    <border>
      <left/>
      <right style="medium">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8"/>
      </top>
      <bottom style="medium">
        <color indexed="8"/>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s>
  <cellStyleXfs count="3">
    <xf numFmtId="164" fontId="0" fillId="0" borderId="0"/>
    <xf numFmtId="43" fontId="1" fillId="0" borderId="0" applyFont="0" applyFill="0" applyBorder="0" applyAlignment="0" applyProtection="0"/>
    <xf numFmtId="164" fontId="2" fillId="0" borderId="0"/>
  </cellStyleXfs>
  <cellXfs count="123">
    <xf numFmtId="164" fontId="0" fillId="0" borderId="0" xfId="0"/>
    <xf numFmtId="165" fontId="0" fillId="0" borderId="0" xfId="0" applyNumberFormat="1" applyAlignment="1">
      <alignment horizontal="center"/>
    </xf>
    <xf numFmtId="165" fontId="0" fillId="0" borderId="0" xfId="0" applyNumberFormat="1"/>
    <xf numFmtId="166" fontId="0" fillId="0" borderId="0" xfId="0" applyNumberFormat="1"/>
    <xf numFmtId="166" fontId="0" fillId="0" borderId="0" xfId="0" applyNumberFormat="1" applyAlignment="1">
      <alignment horizontal="center"/>
    </xf>
    <xf numFmtId="166" fontId="3" fillId="0" borderId="0" xfId="0" applyNumberFormat="1" applyFont="1"/>
    <xf numFmtId="165" fontId="2" fillId="0" borderId="0" xfId="0" applyNumberFormat="1" applyFont="1" applyAlignment="1">
      <alignment horizontal="center"/>
    </xf>
    <xf numFmtId="164" fontId="2" fillId="0" borderId="0" xfId="0" applyFont="1"/>
    <xf numFmtId="166" fontId="2" fillId="0" borderId="0" xfId="0" applyNumberFormat="1" applyFont="1"/>
    <xf numFmtId="166" fontId="2" fillId="0" borderId="0" xfId="0" applyNumberFormat="1" applyFont="1" applyAlignment="1">
      <alignment horizontal="right"/>
    </xf>
    <xf numFmtId="166" fontId="5" fillId="0" borderId="0" xfId="0" applyNumberFormat="1" applyFont="1"/>
    <xf numFmtId="164" fontId="2" fillId="0" borderId="0" xfId="0" applyFont="1" applyAlignment="1">
      <alignment horizontal="left"/>
    </xf>
    <xf numFmtId="164" fontId="6" fillId="0" borderId="0" xfId="0" applyFont="1" applyAlignment="1">
      <alignment vertical="center"/>
    </xf>
    <xf numFmtId="166" fontId="0" fillId="0" borderId="0" xfId="0" applyNumberFormat="1" applyAlignment="1">
      <alignment horizontal="right"/>
    </xf>
    <xf numFmtId="164" fontId="2" fillId="0" borderId="0" xfId="2"/>
    <xf numFmtId="40" fontId="7" fillId="0" borderId="0" xfId="0" applyNumberFormat="1" applyFont="1" applyAlignment="1">
      <alignment horizontal="right"/>
    </xf>
    <xf numFmtId="164" fontId="7" fillId="0" borderId="0" xfId="0" applyFont="1"/>
    <xf numFmtId="40" fontId="7" fillId="0" borderId="0" xfId="0" applyNumberFormat="1" applyFont="1" applyAlignment="1">
      <alignment horizontal="center"/>
    </xf>
    <xf numFmtId="164" fontId="7" fillId="0" borderId="0" xfId="0" applyFont="1" applyAlignment="1">
      <alignment horizontal="center"/>
    </xf>
    <xf numFmtId="164" fontId="7" fillId="0" borderId="0" xfId="0" applyFont="1" applyAlignment="1">
      <alignment horizontal="left"/>
    </xf>
    <xf numFmtId="167" fontId="2" fillId="0" borderId="0" xfId="0" applyNumberFormat="1" applyFont="1"/>
    <xf numFmtId="166" fontId="4" fillId="0" borderId="0" xfId="0" applyNumberFormat="1" applyFont="1" applyAlignment="1">
      <alignment horizontal="right"/>
    </xf>
    <xf numFmtId="164" fontId="9" fillId="3" borderId="0" xfId="0" applyFont="1" applyFill="1" applyAlignment="1">
      <alignment vertical="center"/>
    </xf>
    <xf numFmtId="164" fontId="9" fillId="4" borderId="0" xfId="0" applyFont="1" applyFill="1" applyAlignment="1">
      <alignment vertical="center"/>
    </xf>
    <xf numFmtId="164" fontId="10" fillId="4" borderId="0" xfId="0" applyFont="1" applyFill="1" applyAlignment="1">
      <alignment horizontal="left" vertical="center"/>
    </xf>
    <xf numFmtId="164" fontId="10" fillId="4" borderId="1" xfId="0" applyFont="1" applyFill="1" applyBorder="1" applyAlignment="1">
      <alignment horizontal="left" vertical="center"/>
    </xf>
    <xf numFmtId="164" fontId="9" fillId="4" borderId="2" xfId="0" applyFont="1" applyFill="1" applyBorder="1" applyAlignment="1">
      <alignment vertical="center"/>
    </xf>
    <xf numFmtId="168" fontId="9" fillId="5" borderId="3" xfId="0" applyNumberFormat="1" applyFont="1" applyFill="1" applyBorder="1" applyAlignment="1" applyProtection="1">
      <alignment vertical="center"/>
      <protection locked="0"/>
    </xf>
    <xf numFmtId="164" fontId="9" fillId="4" borderId="4" xfId="0" applyFont="1" applyFill="1" applyBorder="1" applyAlignment="1">
      <alignment vertical="center"/>
    </xf>
    <xf numFmtId="164" fontId="9" fillId="4" borderId="5" xfId="0" applyFont="1" applyFill="1" applyBorder="1" applyAlignment="1">
      <alignment vertical="center"/>
    </xf>
    <xf numFmtId="164" fontId="9" fillId="4" borderId="2" xfId="0" applyFont="1" applyFill="1" applyBorder="1" applyAlignment="1">
      <alignment horizontal="left" vertical="center"/>
    </xf>
    <xf numFmtId="164" fontId="9" fillId="4" borderId="0" xfId="0" applyFont="1" applyFill="1" applyAlignment="1">
      <alignment horizontal="center" vertical="center"/>
    </xf>
    <xf numFmtId="164" fontId="11" fillId="4" borderId="0" xfId="0" applyFont="1" applyFill="1" applyAlignment="1">
      <alignment horizontal="right" vertical="center" wrapText="1"/>
    </xf>
    <xf numFmtId="164" fontId="12" fillId="4" borderId="0" xfId="0" applyFont="1" applyFill="1" applyAlignment="1">
      <alignment vertical="center"/>
    </xf>
    <xf numFmtId="164" fontId="9" fillId="4" borderId="6" xfId="0" applyFont="1" applyFill="1" applyBorder="1" applyAlignment="1">
      <alignment vertical="center"/>
    </xf>
    <xf numFmtId="164" fontId="9" fillId="4" borderId="7" xfId="0" applyFont="1" applyFill="1" applyBorder="1" applyAlignment="1">
      <alignment vertical="center"/>
    </xf>
    <xf numFmtId="164" fontId="12" fillId="4" borderId="0" xfId="0" applyFont="1" applyFill="1" applyAlignment="1">
      <alignment horizontal="center" vertical="center"/>
    </xf>
    <xf numFmtId="164" fontId="13" fillId="4" borderId="0" xfId="0" applyFont="1" applyFill="1" applyAlignment="1">
      <alignment horizontal="center" vertical="center"/>
    </xf>
    <xf numFmtId="168" fontId="9" fillId="5" borderId="8" xfId="0" applyNumberFormat="1" applyFont="1" applyFill="1" applyBorder="1" applyAlignment="1" applyProtection="1">
      <alignment vertical="center"/>
      <protection locked="0"/>
    </xf>
    <xf numFmtId="3" fontId="9" fillId="5" borderId="8" xfId="0" applyNumberFormat="1" applyFont="1" applyFill="1" applyBorder="1" applyAlignment="1" applyProtection="1">
      <alignment vertical="center"/>
      <protection locked="0"/>
    </xf>
    <xf numFmtId="164" fontId="9" fillId="4" borderId="9" xfId="0" applyFont="1" applyFill="1" applyBorder="1" applyAlignment="1">
      <alignment horizontal="right" vertical="center"/>
    </xf>
    <xf numFmtId="164" fontId="9" fillId="4" borderId="0" xfId="0" applyFont="1" applyFill="1" applyAlignment="1">
      <alignment horizontal="right" vertical="center"/>
    </xf>
    <xf numFmtId="168" fontId="9" fillId="4" borderId="5" xfId="0" applyNumberFormat="1" applyFont="1" applyFill="1" applyBorder="1" applyAlignment="1">
      <alignment horizontal="center" vertical="center"/>
    </xf>
    <xf numFmtId="164" fontId="9" fillId="4" borderId="7" xfId="0" applyFont="1" applyFill="1" applyBorder="1" applyAlignment="1">
      <alignment horizontal="center" vertical="center"/>
    </xf>
    <xf numFmtId="168" fontId="9" fillId="4" borderId="7" xfId="0" applyNumberFormat="1" applyFont="1" applyFill="1" applyBorder="1" applyAlignment="1">
      <alignment vertical="center"/>
    </xf>
    <xf numFmtId="168" fontId="9" fillId="4" borderId="0" xfId="0" applyNumberFormat="1" applyFont="1" applyFill="1" applyAlignment="1">
      <alignment vertical="center"/>
    </xf>
    <xf numFmtId="168" fontId="9" fillId="4" borderId="10" xfId="0" applyNumberFormat="1" applyFont="1" applyFill="1" applyBorder="1" applyAlignment="1">
      <alignment horizontal="center" vertical="center"/>
    </xf>
    <xf numFmtId="164" fontId="12" fillId="4" borderId="11" xfId="0" applyFont="1" applyFill="1" applyBorder="1" applyAlignment="1">
      <alignment horizontal="right" vertical="center"/>
    </xf>
    <xf numFmtId="49" fontId="9" fillId="5" borderId="3" xfId="0" applyNumberFormat="1" applyFont="1" applyFill="1" applyBorder="1" applyAlignment="1" applyProtection="1">
      <alignment vertical="center"/>
      <protection locked="0"/>
    </xf>
    <xf numFmtId="164" fontId="9" fillId="5" borderId="12" xfId="0" applyFont="1" applyFill="1" applyBorder="1" applyAlignment="1" applyProtection="1">
      <alignment horizontal="left" vertical="center"/>
      <protection locked="0"/>
    </xf>
    <xf numFmtId="164" fontId="9" fillId="5" borderId="13" xfId="0" applyFont="1" applyFill="1" applyBorder="1" applyAlignment="1" applyProtection="1">
      <alignment horizontal="left" vertical="center"/>
      <protection locked="0"/>
    </xf>
    <xf numFmtId="165" fontId="19" fillId="0" borderId="0" xfId="0" applyNumberFormat="1" applyFont="1" applyAlignment="1">
      <alignment horizontal="center"/>
    </xf>
    <xf numFmtId="164" fontId="20" fillId="0" borderId="0" xfId="0" applyFont="1"/>
    <xf numFmtId="164" fontId="19" fillId="0" borderId="0" xfId="2" applyFont="1"/>
    <xf numFmtId="166" fontId="2" fillId="0" borderId="0" xfId="0" applyNumberFormat="1" applyFont="1" applyAlignment="1">
      <alignment horizontal="center"/>
    </xf>
    <xf numFmtId="166" fontId="21" fillId="0" borderId="0" xfId="0" applyNumberFormat="1" applyFont="1" applyAlignment="1">
      <alignment horizontal="left"/>
    </xf>
    <xf numFmtId="166" fontId="2" fillId="0" borderId="0" xfId="1" applyNumberFormat="1" applyFont="1" applyFill="1" applyBorder="1" applyAlignment="1">
      <alignment horizontal="right"/>
    </xf>
    <xf numFmtId="164" fontId="19" fillId="0" borderId="0" xfId="0" applyFont="1"/>
    <xf numFmtId="166" fontId="19" fillId="0" borderId="0" xfId="0" applyNumberFormat="1" applyFont="1"/>
    <xf numFmtId="166" fontId="19" fillId="0" borderId="0" xfId="0" applyNumberFormat="1" applyFont="1" applyAlignment="1">
      <alignment horizontal="right"/>
    </xf>
    <xf numFmtId="164" fontId="2" fillId="0" borderId="0" xfId="0" applyFont="1" applyAlignment="1">
      <alignment vertical="center"/>
    </xf>
    <xf numFmtId="164" fontId="17" fillId="0" borderId="0" xfId="0" applyFont="1"/>
    <xf numFmtId="164" fontId="4" fillId="2" borderId="14" xfId="0" applyFont="1" applyFill="1" applyBorder="1" applyAlignment="1">
      <alignment horizontal="center"/>
    </xf>
    <xf numFmtId="164" fontId="22" fillId="6" borderId="0" xfId="0" applyFont="1" applyFill="1" applyAlignment="1">
      <alignment horizontal="center" wrapText="1"/>
    </xf>
    <xf numFmtId="164" fontId="23" fillId="6" borderId="0" xfId="0" applyFont="1" applyFill="1" applyAlignment="1">
      <alignment horizontal="center" wrapText="1"/>
    </xf>
    <xf numFmtId="164" fontId="22" fillId="6" borderId="0" xfId="0" applyFont="1" applyFill="1" applyAlignment="1">
      <alignment horizontal="center"/>
    </xf>
    <xf numFmtId="164" fontId="23" fillId="6" borderId="0" xfId="0" applyFont="1" applyFill="1" applyAlignment="1">
      <alignment horizontal="center"/>
    </xf>
    <xf numFmtId="164" fontId="24" fillId="7" borderId="0" xfId="0" applyFont="1" applyFill="1" applyAlignment="1">
      <alignment horizontal="center"/>
    </xf>
    <xf numFmtId="164" fontId="25" fillId="7" borderId="0" xfId="0" applyFont="1" applyFill="1" applyAlignment="1">
      <alignment horizontal="center"/>
    </xf>
    <xf numFmtId="168" fontId="9" fillId="4" borderId="15" xfId="0" applyNumberFormat="1" applyFont="1" applyFill="1" applyBorder="1" applyAlignment="1">
      <alignment horizontal="center" vertical="center"/>
    </xf>
    <xf numFmtId="168" fontId="9" fillId="4" borderId="16" xfId="0" applyNumberFormat="1" applyFont="1" applyFill="1" applyBorder="1" applyAlignment="1">
      <alignment horizontal="center" vertical="center"/>
    </xf>
    <xf numFmtId="168" fontId="12" fillId="4" borderId="17" xfId="0" applyNumberFormat="1" applyFont="1" applyFill="1" applyBorder="1" applyAlignment="1">
      <alignment horizontal="center" vertical="center"/>
    </xf>
    <xf numFmtId="168" fontId="12" fillId="4" borderId="18" xfId="0" applyNumberFormat="1" applyFont="1" applyFill="1" applyBorder="1" applyAlignment="1">
      <alignment horizontal="center" vertical="center"/>
    </xf>
    <xf numFmtId="164" fontId="14" fillId="4" borderId="0" xfId="0" applyFont="1" applyFill="1" applyAlignment="1">
      <alignment horizontal="center" vertical="center"/>
    </xf>
    <xf numFmtId="164" fontId="9" fillId="4" borderId="0" xfId="0" applyFont="1" applyFill="1" applyAlignment="1">
      <alignment horizontal="center" vertical="center"/>
    </xf>
    <xf numFmtId="164" fontId="0" fillId="0" borderId="0" xfId="0" applyAlignment="1">
      <alignment horizontal="center"/>
    </xf>
    <xf numFmtId="49" fontId="9" fillId="5" borderId="12" xfId="0" applyNumberFormat="1" applyFont="1" applyFill="1" applyBorder="1" applyAlignment="1" applyProtection="1">
      <alignment vertical="center"/>
      <protection locked="0"/>
    </xf>
    <xf numFmtId="49" fontId="9" fillId="5" borderId="13" xfId="0" applyNumberFormat="1" applyFont="1" applyFill="1" applyBorder="1" applyAlignment="1" applyProtection="1">
      <alignment vertical="center"/>
      <protection locked="0"/>
    </xf>
    <xf numFmtId="168" fontId="9" fillId="5" borderId="12" xfId="0" applyNumberFormat="1" applyFont="1" applyFill="1" applyBorder="1" applyAlignment="1">
      <alignment horizontal="center" vertical="center"/>
    </xf>
    <xf numFmtId="168" fontId="9" fillId="5" borderId="13" xfId="0" applyNumberFormat="1" applyFont="1" applyFill="1" applyBorder="1" applyAlignment="1">
      <alignment horizontal="center" vertical="center"/>
    </xf>
    <xf numFmtId="49" fontId="9" fillId="5" borderId="12" xfId="0" applyNumberFormat="1" applyFont="1" applyFill="1" applyBorder="1" applyAlignment="1" applyProtection="1">
      <alignment horizontal="center" vertical="center"/>
      <protection locked="0"/>
    </xf>
    <xf numFmtId="49" fontId="9" fillId="5" borderId="13" xfId="0" applyNumberFormat="1" applyFont="1" applyFill="1" applyBorder="1" applyAlignment="1" applyProtection="1">
      <alignment horizontal="center" vertical="center"/>
      <protection locked="0"/>
    </xf>
    <xf numFmtId="164" fontId="13" fillId="4" borderId="19" xfId="0" applyFont="1" applyFill="1" applyBorder="1" applyAlignment="1">
      <alignment horizontal="left" vertical="center"/>
    </xf>
    <xf numFmtId="49" fontId="9" fillId="5" borderId="12" xfId="0" applyNumberFormat="1" applyFont="1" applyFill="1" applyBorder="1" applyAlignment="1" applyProtection="1">
      <alignment horizontal="left" vertical="center"/>
      <protection locked="0"/>
    </xf>
    <xf numFmtId="49" fontId="9" fillId="5" borderId="13" xfId="0" applyNumberFormat="1" applyFont="1" applyFill="1" applyBorder="1" applyAlignment="1" applyProtection="1">
      <alignment horizontal="left" vertical="center"/>
      <protection locked="0"/>
    </xf>
    <xf numFmtId="168" fontId="9" fillId="5" borderId="20" xfId="0" applyNumberFormat="1" applyFont="1" applyFill="1" applyBorder="1" applyAlignment="1">
      <alignment horizontal="center" vertical="center"/>
    </xf>
    <xf numFmtId="168" fontId="9" fillId="5" borderId="21" xfId="0" applyNumberFormat="1" applyFont="1" applyFill="1" applyBorder="1" applyAlignment="1">
      <alignment horizontal="center" vertical="center"/>
    </xf>
    <xf numFmtId="168" fontId="9" fillId="4" borderId="17" xfId="0" applyNumberFormat="1" applyFont="1" applyFill="1" applyBorder="1" applyAlignment="1">
      <alignment horizontal="center" vertical="center"/>
    </xf>
    <xf numFmtId="168" fontId="9" fillId="4" borderId="18" xfId="0" applyNumberFormat="1" applyFont="1" applyFill="1" applyBorder="1" applyAlignment="1">
      <alignment horizontal="center" vertical="center"/>
    </xf>
    <xf numFmtId="164" fontId="9" fillId="8" borderId="12" xfId="0" applyFont="1" applyFill="1" applyBorder="1" applyAlignment="1" applyProtection="1">
      <alignment horizontal="left" vertical="center"/>
      <protection locked="0"/>
    </xf>
    <xf numFmtId="164" fontId="9" fillId="8" borderId="13" xfId="0" applyFont="1" applyFill="1" applyBorder="1" applyAlignment="1" applyProtection="1">
      <alignment horizontal="left" vertical="center"/>
      <protection locked="0"/>
    </xf>
    <xf numFmtId="164" fontId="9" fillId="8" borderId="12" xfId="0" applyFont="1" applyFill="1" applyBorder="1" applyAlignment="1" applyProtection="1">
      <alignment horizontal="center" vertical="center"/>
      <protection locked="0"/>
    </xf>
    <xf numFmtId="164" fontId="9" fillId="8" borderId="13" xfId="0" applyFont="1" applyFill="1" applyBorder="1" applyAlignment="1" applyProtection="1">
      <alignment horizontal="center" vertical="center"/>
      <protection locked="0"/>
    </xf>
    <xf numFmtId="164" fontId="9" fillId="4" borderId="0" xfId="0" applyFont="1" applyFill="1" applyAlignment="1">
      <alignment horizontal="left" vertical="center" wrapText="1"/>
    </xf>
    <xf numFmtId="164" fontId="12" fillId="4" borderId="0" xfId="0" applyFont="1" applyFill="1" applyAlignment="1">
      <alignment horizontal="center" vertical="center"/>
    </xf>
    <xf numFmtId="164" fontId="9" fillId="5" borderId="12" xfId="0" applyFont="1" applyFill="1" applyBorder="1" applyAlignment="1" applyProtection="1">
      <alignment horizontal="left" vertical="center"/>
      <protection locked="0"/>
    </xf>
    <xf numFmtId="164" fontId="9" fillId="5" borderId="13" xfId="0" applyFont="1" applyFill="1" applyBorder="1" applyAlignment="1" applyProtection="1">
      <alignment horizontal="left" vertical="center"/>
      <protection locked="0"/>
    </xf>
    <xf numFmtId="164" fontId="9" fillId="5" borderId="12" xfId="0" applyFont="1" applyFill="1" applyBorder="1" applyAlignment="1" applyProtection="1">
      <alignment horizontal="center" vertical="center"/>
      <protection locked="0"/>
    </xf>
    <xf numFmtId="164" fontId="9" fillId="5" borderId="13" xfId="0" applyFont="1" applyFill="1" applyBorder="1" applyAlignment="1" applyProtection="1">
      <alignment horizontal="center" vertical="center"/>
      <protection locked="0"/>
    </xf>
    <xf numFmtId="14" fontId="9" fillId="5" borderId="12" xfId="0" applyNumberFormat="1" applyFont="1" applyFill="1" applyBorder="1" applyAlignment="1" applyProtection="1">
      <alignment horizontal="center" vertical="center"/>
      <protection locked="0"/>
    </xf>
    <xf numFmtId="14" fontId="9" fillId="5" borderId="13" xfId="0" applyNumberFormat="1" applyFont="1" applyFill="1" applyBorder="1" applyAlignment="1" applyProtection="1">
      <alignment horizontal="center" vertical="center"/>
      <protection locked="0"/>
    </xf>
    <xf numFmtId="49" fontId="9" fillId="3" borderId="0" xfId="0" applyNumberFormat="1" applyFont="1" applyFill="1" applyAlignment="1" applyProtection="1">
      <alignment horizontal="center" vertical="center"/>
      <protection locked="0"/>
    </xf>
    <xf numFmtId="164" fontId="26" fillId="4" borderId="0" xfId="0" applyFont="1" applyFill="1" applyAlignment="1">
      <alignment horizontal="left" vertical="center"/>
    </xf>
    <xf numFmtId="164" fontId="9" fillId="4" borderId="0" xfId="0" applyFont="1" applyFill="1" applyAlignment="1">
      <alignment horizontal="left" vertical="center"/>
    </xf>
    <xf numFmtId="164" fontId="13" fillId="4" borderId="19" xfId="0" applyFont="1" applyFill="1" applyBorder="1" applyAlignment="1">
      <alignment horizontal="center" vertical="center"/>
    </xf>
    <xf numFmtId="164" fontId="8" fillId="4" borderId="0" xfId="0" applyFont="1" applyFill="1" applyAlignment="1">
      <alignment horizontal="center" vertical="center"/>
    </xf>
    <xf numFmtId="164" fontId="27" fillId="4" borderId="0" xfId="0" applyFont="1" applyFill="1" applyAlignment="1">
      <alignment horizontal="center"/>
    </xf>
    <xf numFmtId="49" fontId="9" fillId="5" borderId="4" xfId="0" applyNumberFormat="1" applyFont="1" applyFill="1" applyBorder="1" applyAlignment="1" applyProtection="1">
      <alignment horizontal="center" vertical="center" wrapText="1"/>
      <protection locked="0"/>
    </xf>
    <xf numFmtId="49" fontId="9" fillId="5" borderId="5" xfId="0" applyNumberFormat="1" applyFont="1" applyFill="1" applyBorder="1" applyAlignment="1" applyProtection="1">
      <alignment horizontal="center" vertical="center" wrapText="1"/>
      <protection locked="0"/>
    </xf>
    <xf numFmtId="49" fontId="9" fillId="5" borderId="22" xfId="0" applyNumberFormat="1" applyFont="1" applyFill="1" applyBorder="1" applyAlignment="1" applyProtection="1">
      <alignment horizontal="center" vertical="center" wrapText="1"/>
      <protection locked="0"/>
    </xf>
    <xf numFmtId="49" fontId="9" fillId="5" borderId="2" xfId="0" applyNumberFormat="1" applyFont="1" applyFill="1" applyBorder="1" applyAlignment="1" applyProtection="1">
      <alignment horizontal="center" vertical="center" wrapText="1"/>
      <protection locked="0"/>
    </xf>
    <xf numFmtId="49" fontId="9" fillId="5" borderId="0" xfId="0" applyNumberFormat="1" applyFont="1" applyFill="1" applyAlignment="1" applyProtection="1">
      <alignment horizontal="center" vertical="center" wrapText="1"/>
      <protection locked="0"/>
    </xf>
    <xf numFmtId="49" fontId="9" fillId="5" borderId="11" xfId="0" applyNumberFormat="1" applyFont="1" applyFill="1" applyBorder="1" applyAlignment="1" applyProtection="1">
      <alignment horizontal="center" vertical="center" wrapText="1"/>
      <protection locked="0"/>
    </xf>
    <xf numFmtId="49" fontId="9" fillId="5" borderId="23" xfId="0" applyNumberFormat="1" applyFont="1" applyFill="1" applyBorder="1" applyAlignment="1" applyProtection="1">
      <alignment horizontal="center" vertical="center" wrapText="1"/>
      <protection locked="0"/>
    </xf>
    <xf numFmtId="49" fontId="9" fillId="5" borderId="1" xfId="0" applyNumberFormat="1" applyFont="1" applyFill="1" applyBorder="1" applyAlignment="1" applyProtection="1">
      <alignment horizontal="center" vertical="center" wrapText="1"/>
      <protection locked="0"/>
    </xf>
    <xf numFmtId="49" fontId="9" fillId="5" borderId="24" xfId="0" applyNumberFormat="1" applyFont="1" applyFill="1" applyBorder="1" applyAlignment="1" applyProtection="1">
      <alignment horizontal="center" vertical="center" wrapText="1"/>
      <protection locked="0"/>
    </xf>
    <xf numFmtId="164" fontId="26" fillId="3" borderId="0" xfId="0" applyFont="1" applyFill="1" applyAlignment="1">
      <alignment horizontal="left" vertical="center"/>
    </xf>
    <xf numFmtId="164" fontId="11" fillId="4" borderId="0" xfId="0" applyFont="1" applyFill="1" applyAlignment="1">
      <alignment horizontal="right" vertical="center"/>
    </xf>
    <xf numFmtId="164" fontId="11" fillId="4" borderId="11" xfId="0" applyFont="1" applyFill="1" applyBorder="1" applyAlignment="1">
      <alignment horizontal="right" vertical="center"/>
    </xf>
    <xf numFmtId="49" fontId="9" fillId="5" borderId="17" xfId="0" applyNumberFormat="1" applyFont="1" applyFill="1" applyBorder="1" applyAlignment="1" applyProtection="1">
      <alignment horizontal="center" vertical="center"/>
      <protection locked="0"/>
    </xf>
    <xf numFmtId="49" fontId="9" fillId="5" borderId="10" xfId="0" applyNumberFormat="1" applyFont="1" applyFill="1" applyBorder="1" applyAlignment="1" applyProtection="1">
      <alignment horizontal="center" vertical="center"/>
      <protection locked="0"/>
    </xf>
    <xf numFmtId="49" fontId="9" fillId="5" borderId="18" xfId="0" applyNumberFormat="1" applyFont="1" applyFill="1" applyBorder="1" applyAlignment="1" applyProtection="1">
      <alignment horizontal="center" vertical="center"/>
      <protection locked="0"/>
    </xf>
    <xf numFmtId="164" fontId="11" fillId="4" borderId="0" xfId="0" applyFont="1" applyFill="1" applyAlignment="1">
      <alignment horizontal="right" vertical="center" wrapText="1"/>
    </xf>
  </cellXfs>
  <cellStyles count="3">
    <cellStyle name="Comma" xfId="1" builtinId="3"/>
    <cellStyle name="Normal" xfId="0" builtinId="0"/>
    <cellStyle name="Normal 3" xfId="2" xr:uid="{E0E7813C-2663-4399-8494-DDDEE6A1656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E0E56F-B617-4714-8DAB-CEBD8E4CFF66}">
  <sheetPr transitionEvaluation="1" codeName="Sheet1">
    <pageSetUpPr fitToPage="1"/>
  </sheetPr>
  <dimension ref="A1:IV161"/>
  <sheetViews>
    <sheetView tabSelected="1" defaultGridColor="0" colorId="22" zoomScaleNormal="100" workbookViewId="0">
      <pane ySplit="5" topLeftCell="A113" activePane="bottomLeft" state="frozen"/>
      <selection pane="bottomLeft" activeCell="I135" sqref="I135"/>
    </sheetView>
  </sheetViews>
  <sheetFormatPr defaultColWidth="9.77734375" defaultRowHeight="15"/>
  <cols>
    <col min="1" max="1" width="50.6640625" customWidth="1"/>
    <col min="2" max="2" width="6.77734375" style="1" customWidth="1"/>
    <col min="3" max="8" width="15.77734375" style="3" customWidth="1"/>
    <col min="9" max="9" width="15.77734375" style="13" customWidth="1"/>
    <col min="10" max="10" width="15.77734375" style="3" customWidth="1"/>
    <col min="11" max="11" width="12" style="15" bestFit="1" customWidth="1"/>
    <col min="12" max="12" width="11.44140625" style="15" bestFit="1" customWidth="1"/>
    <col min="13" max="13" width="20.5546875" style="16" bestFit="1" customWidth="1"/>
  </cols>
  <sheetData>
    <row r="1" spans="1:13" ht="15.75">
      <c r="B1" s="12" t="s">
        <v>0</v>
      </c>
    </row>
    <row r="2" spans="1:13" ht="15.75">
      <c r="A2" s="7" t="s">
        <v>1</v>
      </c>
      <c r="B2" s="12" t="s">
        <v>2</v>
      </c>
      <c r="C2" s="10"/>
      <c r="D2" s="10"/>
      <c r="E2" s="10"/>
      <c r="F2" s="58"/>
      <c r="G2" s="10"/>
    </row>
    <row r="3" spans="1:13">
      <c r="A3" s="7" t="s">
        <v>3</v>
      </c>
      <c r="B3" s="6"/>
      <c r="C3" s="4" t="s">
        <v>4</v>
      </c>
      <c r="D3" s="4" t="s">
        <v>5</v>
      </c>
      <c r="E3" s="54" t="s">
        <v>6</v>
      </c>
      <c r="F3" s="4" t="s">
        <v>7</v>
      </c>
      <c r="G3" s="4" t="s">
        <v>8</v>
      </c>
      <c r="H3" s="4"/>
      <c r="I3" s="4" t="s">
        <v>9</v>
      </c>
      <c r="J3" s="4" t="s">
        <v>10</v>
      </c>
    </row>
    <row r="4" spans="1:13" ht="15.75" thickBot="1">
      <c r="A4" s="7" t="s">
        <v>11</v>
      </c>
      <c r="B4" s="6" t="s">
        <v>12</v>
      </c>
      <c r="C4" s="4" t="s">
        <v>13</v>
      </c>
      <c r="D4" s="4" t="s">
        <v>14</v>
      </c>
      <c r="E4" s="54" t="s">
        <v>15</v>
      </c>
      <c r="F4" s="4" t="s">
        <v>16</v>
      </c>
      <c r="G4" s="4" t="s">
        <v>17</v>
      </c>
      <c r="H4" s="4" t="s">
        <v>18</v>
      </c>
      <c r="I4" s="4" t="s">
        <v>19</v>
      </c>
      <c r="J4" s="4" t="s">
        <v>20</v>
      </c>
    </row>
    <row r="5" spans="1:13" ht="15.75" thickBot="1">
      <c r="A5" s="62" t="s">
        <v>21</v>
      </c>
      <c r="B5" s="62"/>
      <c r="C5" s="62"/>
      <c r="D5" s="62"/>
      <c r="E5" s="62"/>
      <c r="F5" s="62"/>
      <c r="G5" s="62"/>
      <c r="H5" s="62"/>
      <c r="I5" s="62"/>
      <c r="J5" s="62"/>
      <c r="K5" s="17" t="s">
        <v>22</v>
      </c>
      <c r="L5" s="15" t="s">
        <v>23</v>
      </c>
      <c r="M5" s="18" t="s">
        <v>24</v>
      </c>
    </row>
    <row r="6" spans="1:13">
      <c r="A6" s="11" t="s">
        <v>25</v>
      </c>
      <c r="B6" s="6"/>
      <c r="C6" s="9"/>
      <c r="D6" s="9"/>
      <c r="E6" s="9"/>
      <c r="F6" s="9"/>
      <c r="G6" s="9"/>
      <c r="H6" s="9"/>
      <c r="I6" s="21"/>
      <c r="J6" s="9">
        <f>SUM(C6:I6)</f>
        <v>0</v>
      </c>
    </row>
    <row r="7" spans="1:13">
      <c r="A7" s="14" t="s">
        <v>26</v>
      </c>
      <c r="B7" s="51">
        <v>44227</v>
      </c>
      <c r="C7" s="8"/>
      <c r="D7" s="9"/>
      <c r="E7" s="9"/>
      <c r="F7" s="9"/>
      <c r="G7" s="9"/>
      <c r="H7" s="8">
        <v>113066</v>
      </c>
      <c r="I7" s="9">
        <f t="shared" ref="I7:I28" si="0">SUM(C7:G7)</f>
        <v>0</v>
      </c>
      <c r="J7" s="9">
        <f t="shared" ref="J7:J28" si="1">J6+H7-I7</f>
        <v>113066</v>
      </c>
      <c r="K7" s="15">
        <f>I7</f>
        <v>0</v>
      </c>
      <c r="L7" s="15">
        <v>113066</v>
      </c>
      <c r="M7" s="52" t="s">
        <v>27</v>
      </c>
    </row>
    <row r="8" spans="1:13">
      <c r="A8" s="14" t="s">
        <v>28</v>
      </c>
      <c r="B8" s="51">
        <v>44286</v>
      </c>
      <c r="C8" s="8"/>
      <c r="D8" s="9"/>
      <c r="E8" s="9">
        <v>264.13</v>
      </c>
      <c r="F8" s="9">
        <v>1027.3</v>
      </c>
      <c r="G8" s="9"/>
      <c r="H8" s="8"/>
      <c r="I8" s="9">
        <f t="shared" si="0"/>
        <v>1291.4299999999998</v>
      </c>
      <c r="J8" s="9">
        <f t="shared" si="1"/>
        <v>111774.57</v>
      </c>
      <c r="K8" s="15">
        <f>I8</f>
        <v>1291.4299999999998</v>
      </c>
      <c r="L8" s="15">
        <v>111774.56999999999</v>
      </c>
      <c r="M8" s="52" t="s">
        <v>29</v>
      </c>
    </row>
    <row r="9" spans="1:13">
      <c r="A9" s="53" t="s">
        <v>30</v>
      </c>
      <c r="B9" s="51">
        <v>44316</v>
      </c>
      <c r="C9" s="8"/>
      <c r="D9" s="9"/>
      <c r="E9" s="9"/>
      <c r="F9" s="9"/>
      <c r="G9" s="9"/>
      <c r="H9" s="8">
        <v>-136.59</v>
      </c>
      <c r="I9" s="9">
        <f t="shared" si="0"/>
        <v>0</v>
      </c>
      <c r="J9" s="9">
        <f t="shared" si="1"/>
        <v>111637.98000000001</v>
      </c>
    </row>
    <row r="10" spans="1:13">
      <c r="A10" s="11" t="s">
        <v>31</v>
      </c>
      <c r="B10" s="51">
        <v>44316</v>
      </c>
      <c r="C10" s="8">
        <v>741</v>
      </c>
      <c r="D10" s="9">
        <f>10.24+4.67</f>
        <v>14.91</v>
      </c>
      <c r="E10" s="55" t="s">
        <v>32</v>
      </c>
      <c r="F10" s="9"/>
      <c r="G10" s="9"/>
      <c r="H10" s="8"/>
      <c r="I10" s="9">
        <f t="shared" si="0"/>
        <v>755.91</v>
      </c>
      <c r="J10" s="9">
        <f t="shared" si="1"/>
        <v>110882.07</v>
      </c>
    </row>
    <row r="11" spans="1:13">
      <c r="A11" s="11" t="s">
        <v>33</v>
      </c>
      <c r="B11" s="51">
        <v>44316</v>
      </c>
      <c r="C11" s="8">
        <v>741</v>
      </c>
      <c r="D11" s="9">
        <f>10.25+4.67</f>
        <v>14.92</v>
      </c>
      <c r="E11" s="55" t="s">
        <v>32</v>
      </c>
      <c r="F11" s="9"/>
      <c r="G11" s="9"/>
      <c r="H11" s="8"/>
      <c r="I11" s="9">
        <f t="shared" si="0"/>
        <v>755.92</v>
      </c>
      <c r="J11" s="9">
        <f t="shared" si="1"/>
        <v>110126.15000000001</v>
      </c>
    </row>
    <row r="12" spans="1:13">
      <c r="A12" s="53" t="s">
        <v>34</v>
      </c>
      <c r="B12" s="51">
        <v>44316</v>
      </c>
      <c r="C12" s="8"/>
      <c r="D12" s="9"/>
      <c r="E12" s="9"/>
      <c r="F12" s="9"/>
      <c r="G12" s="9"/>
      <c r="H12" s="8">
        <v>136.59</v>
      </c>
      <c r="I12" s="9">
        <f t="shared" si="0"/>
        <v>0</v>
      </c>
      <c r="J12" s="9">
        <f t="shared" si="1"/>
        <v>110262.74</v>
      </c>
    </row>
    <row r="13" spans="1:13">
      <c r="A13" s="14" t="s">
        <v>35</v>
      </c>
      <c r="B13" s="51">
        <v>44316</v>
      </c>
      <c r="C13" s="8"/>
      <c r="D13" s="9"/>
      <c r="E13" s="9"/>
      <c r="F13" s="9">
        <v>1724.43</v>
      </c>
      <c r="G13" s="9"/>
      <c r="H13" s="8"/>
      <c r="I13" s="9">
        <f t="shared" si="0"/>
        <v>1724.43</v>
      </c>
      <c r="J13" s="9">
        <f t="shared" si="1"/>
        <v>108538.31000000001</v>
      </c>
      <c r="K13" s="15">
        <f>SUM(I9:I13)</f>
        <v>3236.26</v>
      </c>
      <c r="L13" s="15">
        <f>108538.31</f>
        <v>108538.31</v>
      </c>
      <c r="M13" s="16" t="s">
        <v>36</v>
      </c>
    </row>
    <row r="14" spans="1:13">
      <c r="A14" s="57" t="s">
        <v>37</v>
      </c>
      <c r="B14" s="6">
        <v>44347</v>
      </c>
      <c r="C14" s="8">
        <v>112.5</v>
      </c>
      <c r="D14" s="56">
        <v>0.71</v>
      </c>
      <c r="E14"/>
      <c r="F14" s="9"/>
      <c r="G14" s="9"/>
      <c r="H14" s="8"/>
      <c r="I14" s="9">
        <f t="shared" si="0"/>
        <v>113.21</v>
      </c>
      <c r="J14" s="9">
        <f t="shared" si="1"/>
        <v>108425.1</v>
      </c>
    </row>
    <row r="15" spans="1:13">
      <c r="A15" s="11" t="s">
        <v>38</v>
      </c>
      <c r="B15" s="6">
        <v>44347</v>
      </c>
      <c r="C15" s="8">
        <v>2074.8000000000002</v>
      </c>
      <c r="D15" s="9">
        <f>28.68+13.07</f>
        <v>41.75</v>
      </c>
      <c r="E15"/>
      <c r="F15" s="9"/>
      <c r="G15" s="9"/>
      <c r="H15" s="8"/>
      <c r="I15" s="9">
        <f t="shared" si="0"/>
        <v>2116.5500000000002</v>
      </c>
      <c r="J15" s="9">
        <f t="shared" si="1"/>
        <v>106308.55</v>
      </c>
    </row>
    <row r="16" spans="1:13" s="7" customFormat="1">
      <c r="A16" s="14" t="s">
        <v>39</v>
      </c>
      <c r="B16" s="6">
        <v>44347</v>
      </c>
      <c r="C16" s="8">
        <v>43.75</v>
      </c>
      <c r="D16" s="56">
        <v>0.27</v>
      </c>
      <c r="E16" s="55" t="s">
        <v>40</v>
      </c>
      <c r="F16" s="9"/>
      <c r="G16" s="9"/>
      <c r="H16" s="8"/>
      <c r="I16" s="9">
        <f t="shared" si="0"/>
        <v>44.02</v>
      </c>
      <c r="J16" s="9">
        <f t="shared" si="1"/>
        <v>106264.53</v>
      </c>
      <c r="K16" s="15"/>
      <c r="L16" s="15"/>
      <c r="M16" s="16"/>
    </row>
    <row r="17" spans="1:19" s="7" customFormat="1">
      <c r="A17" s="14" t="s">
        <v>41</v>
      </c>
      <c r="B17" s="6">
        <v>44347</v>
      </c>
      <c r="C17" s="8">
        <v>43.75</v>
      </c>
      <c r="D17" s="56">
        <v>0.28000000000000003</v>
      </c>
      <c r="E17" s="55" t="s">
        <v>40</v>
      </c>
      <c r="F17" s="9"/>
      <c r="G17" s="9"/>
      <c r="H17" s="8"/>
      <c r="I17" s="9">
        <f t="shared" si="0"/>
        <v>44.03</v>
      </c>
      <c r="J17" s="9">
        <f t="shared" si="1"/>
        <v>106220.5</v>
      </c>
      <c r="K17" s="15"/>
      <c r="L17" s="15"/>
      <c r="M17" s="16"/>
    </row>
    <row r="18" spans="1:19" s="7" customFormat="1">
      <c r="A18" s="14" t="s">
        <v>42</v>
      </c>
      <c r="B18" s="6">
        <v>44347</v>
      </c>
      <c r="C18" s="8"/>
      <c r="D18" s="56"/>
      <c r="E18" s="55"/>
      <c r="F18" s="9">
        <v>807.13</v>
      </c>
      <c r="G18" s="9"/>
      <c r="H18" s="8"/>
      <c r="I18" s="9">
        <f t="shared" si="0"/>
        <v>807.13</v>
      </c>
      <c r="J18" s="9">
        <f t="shared" si="1"/>
        <v>105413.37</v>
      </c>
      <c r="K18" s="15">
        <f>SUM(I14:I18)</f>
        <v>3124.9400000000005</v>
      </c>
      <c r="L18" s="15">
        <f>105413.37-0</f>
        <v>105413.37</v>
      </c>
      <c r="M18" s="52" t="s">
        <v>43</v>
      </c>
      <c r="N18"/>
      <c r="O18"/>
      <c r="P18"/>
      <c r="Q18"/>
      <c r="R18"/>
      <c r="S18"/>
    </row>
    <row r="19" spans="1:19" s="7" customFormat="1">
      <c r="A19" s="60" t="s">
        <v>44</v>
      </c>
      <c r="B19" s="6">
        <v>44377</v>
      </c>
      <c r="C19" s="8">
        <v>775</v>
      </c>
      <c r="D19" s="56">
        <f>48.05+11.24+4.88</f>
        <v>64.17</v>
      </c>
      <c r="E19" s="59"/>
      <c r="F19" s="9"/>
      <c r="G19" s="9"/>
      <c r="H19" s="8"/>
      <c r="I19" s="9">
        <f t="shared" si="0"/>
        <v>839.17</v>
      </c>
      <c r="J19" s="9">
        <f t="shared" si="1"/>
        <v>104574.2</v>
      </c>
      <c r="K19" s="15"/>
      <c r="L19" s="15"/>
      <c r="M19" s="16"/>
      <c r="N19"/>
      <c r="O19"/>
      <c r="P19"/>
      <c r="Q19"/>
      <c r="R19"/>
      <c r="S19"/>
    </row>
    <row r="20" spans="1:19" s="7" customFormat="1">
      <c r="A20" s="60" t="s">
        <v>45</v>
      </c>
      <c r="B20" s="6">
        <v>44377</v>
      </c>
      <c r="C20" s="8">
        <v>800</v>
      </c>
      <c r="D20" s="56">
        <f>49.6+11.6+5.04</f>
        <v>66.240000000000009</v>
      </c>
      <c r="E20" s="59"/>
      <c r="F20" s="9"/>
      <c r="G20" s="9"/>
      <c r="H20" s="8"/>
      <c r="I20" s="9">
        <f t="shared" si="0"/>
        <v>866.24</v>
      </c>
      <c r="J20" s="9">
        <f t="shared" si="1"/>
        <v>103707.95999999999</v>
      </c>
      <c r="K20" s="15"/>
      <c r="L20" s="15"/>
      <c r="M20" s="16"/>
      <c r="N20"/>
      <c r="O20"/>
      <c r="P20"/>
      <c r="Q20"/>
      <c r="R20"/>
      <c r="S20"/>
    </row>
    <row r="21" spans="1:19" s="7" customFormat="1">
      <c r="A21" s="60" t="s">
        <v>46</v>
      </c>
      <c r="B21" s="6">
        <v>44377</v>
      </c>
      <c r="C21" s="8">
        <v>662.5</v>
      </c>
      <c r="D21" s="56">
        <f>41.08+9.61+4.17</f>
        <v>54.86</v>
      </c>
      <c r="E21" s="59"/>
      <c r="F21" s="9"/>
      <c r="G21" s="9"/>
      <c r="H21" s="8"/>
      <c r="I21" s="9">
        <f t="shared" si="0"/>
        <v>717.36</v>
      </c>
      <c r="J21" s="9">
        <f t="shared" si="1"/>
        <v>102990.59999999999</v>
      </c>
      <c r="K21" s="15"/>
      <c r="L21" s="15"/>
      <c r="M21" s="16"/>
      <c r="N21"/>
      <c r="O21"/>
      <c r="P21"/>
      <c r="Q21"/>
      <c r="R21"/>
      <c r="S21"/>
    </row>
    <row r="22" spans="1:19" s="7" customFormat="1">
      <c r="A22" s="60" t="s">
        <v>47</v>
      </c>
      <c r="B22" s="6">
        <v>44377</v>
      </c>
      <c r="C22" s="8">
        <v>800</v>
      </c>
      <c r="D22" s="56">
        <f>49.6+11.6+5.04</f>
        <v>66.240000000000009</v>
      </c>
      <c r="E22" s="59"/>
      <c r="F22" s="9"/>
      <c r="G22" s="3"/>
      <c r="H22" s="8"/>
      <c r="I22" s="9">
        <f t="shared" si="0"/>
        <v>866.24</v>
      </c>
      <c r="J22" s="9">
        <f t="shared" si="1"/>
        <v>102124.35999999999</v>
      </c>
      <c r="K22" s="15"/>
      <c r="L22" s="15"/>
      <c r="M22" s="16"/>
      <c r="N22"/>
      <c r="O22"/>
      <c r="P22"/>
      <c r="Q22"/>
      <c r="R22"/>
      <c r="S22"/>
    </row>
    <row r="23" spans="1:19" s="7" customFormat="1">
      <c r="A23" s="60" t="s">
        <v>48</v>
      </c>
      <c r="B23" s="6">
        <v>44377</v>
      </c>
      <c r="C23" s="8">
        <v>687.5</v>
      </c>
      <c r="D23" s="56">
        <f>42.62+9.97+4.33</f>
        <v>56.919999999999995</v>
      </c>
      <c r="E23" s="59"/>
      <c r="F23" s="9"/>
      <c r="G23" s="9"/>
      <c r="H23" s="8"/>
      <c r="I23" s="9">
        <f t="shared" si="0"/>
        <v>744.42</v>
      </c>
      <c r="J23" s="9">
        <f t="shared" si="1"/>
        <v>101379.93999999999</v>
      </c>
      <c r="K23" s="15"/>
      <c r="L23" s="15"/>
      <c r="M23" s="52"/>
      <c r="N23"/>
      <c r="O23"/>
      <c r="P23"/>
      <c r="Q23"/>
      <c r="R23"/>
      <c r="S23"/>
    </row>
    <row r="24" spans="1:19" s="7" customFormat="1" ht="15.75">
      <c r="A24" s="11" t="s">
        <v>49</v>
      </c>
      <c r="B24" s="6">
        <v>44377</v>
      </c>
      <c r="C24" s="8">
        <v>118.75</v>
      </c>
      <c r="D24" s="56">
        <f>7.36+1.72+0.75</f>
        <v>9.83</v>
      </c>
      <c r="E24" s="59"/>
      <c r="F24" s="9"/>
      <c r="G24" s="9"/>
      <c r="H24" s="8"/>
      <c r="I24" s="9">
        <f t="shared" si="0"/>
        <v>128.58000000000001</v>
      </c>
      <c r="J24" s="9">
        <f t="shared" si="1"/>
        <v>101251.35999999999</v>
      </c>
      <c r="K24" s="15"/>
      <c r="L24" s="15"/>
      <c r="M24" s="16"/>
      <c r="N24"/>
      <c r="O24"/>
      <c r="P24"/>
      <c r="Q24"/>
      <c r="R24"/>
      <c r="S24"/>
    </row>
    <row r="25" spans="1:19" s="7" customFormat="1">
      <c r="A25" s="11" t="s">
        <v>50</v>
      </c>
      <c r="B25" s="6">
        <v>44377</v>
      </c>
      <c r="C25" s="8">
        <v>2074.8000000000002</v>
      </c>
      <c r="D25" s="9">
        <f>28.67+13.06</f>
        <v>41.730000000000004</v>
      </c>
      <c r="E25" s="59"/>
      <c r="F25" s="9"/>
      <c r="G25" s="3"/>
      <c r="H25" s="8"/>
      <c r="I25" s="9">
        <f t="shared" si="0"/>
        <v>2116.5300000000002</v>
      </c>
      <c r="J25" s="9">
        <f t="shared" si="1"/>
        <v>99134.829999999987</v>
      </c>
      <c r="K25" s="15"/>
      <c r="L25" s="15"/>
      <c r="M25" s="16"/>
      <c r="N25"/>
      <c r="O25"/>
      <c r="P25"/>
      <c r="Q25"/>
      <c r="R25"/>
      <c r="S25"/>
    </row>
    <row r="26" spans="1:19" s="7" customFormat="1">
      <c r="A26" s="57" t="s">
        <v>51</v>
      </c>
      <c r="B26" s="6">
        <v>44377</v>
      </c>
      <c r="C26" s="8">
        <v>1037.4000000000001</v>
      </c>
      <c r="D26" s="9">
        <f>14.27+6.53</f>
        <v>20.8</v>
      </c>
      <c r="E26" s="59"/>
      <c r="F26" s="9"/>
      <c r="G26" s="3"/>
      <c r="H26" s="8"/>
      <c r="I26" s="9">
        <f t="shared" si="0"/>
        <v>1058.2</v>
      </c>
      <c r="J26" s="9">
        <f t="shared" si="1"/>
        <v>98076.62999999999</v>
      </c>
      <c r="K26" s="15"/>
      <c r="L26" s="15"/>
      <c r="M26" s="16"/>
      <c r="N26"/>
      <c r="O26"/>
      <c r="P26"/>
      <c r="Q26"/>
      <c r="R26"/>
      <c r="S26"/>
    </row>
    <row r="27" spans="1:19" s="7" customFormat="1">
      <c r="A27" s="60" t="s">
        <v>52</v>
      </c>
      <c r="B27" s="6">
        <v>44377</v>
      </c>
      <c r="C27" s="8">
        <v>256.25</v>
      </c>
      <c r="D27" s="59">
        <v>1.61</v>
      </c>
      <c r="E27" s="59"/>
      <c r="F27" s="9"/>
      <c r="G27" s="3"/>
      <c r="H27" s="8"/>
      <c r="I27" s="9">
        <f t="shared" si="0"/>
        <v>257.86</v>
      </c>
      <c r="J27" s="9">
        <f t="shared" si="1"/>
        <v>97818.76999999999</v>
      </c>
      <c r="K27" s="15"/>
      <c r="L27" s="15"/>
      <c r="M27" s="16"/>
      <c r="N27"/>
      <c r="O27"/>
      <c r="P27"/>
      <c r="Q27"/>
      <c r="R27"/>
      <c r="S27"/>
    </row>
    <row r="28" spans="1:19" s="7" customFormat="1">
      <c r="A28" s="60" t="s">
        <v>53</v>
      </c>
      <c r="B28" s="6">
        <v>44377</v>
      </c>
      <c r="C28" s="8">
        <v>743.75</v>
      </c>
      <c r="D28" s="59">
        <v>4.6900000000000004</v>
      </c>
      <c r="E28" s="59"/>
      <c r="F28" s="9"/>
      <c r="G28" s="3"/>
      <c r="H28" s="8"/>
      <c r="I28" s="9">
        <f t="shared" si="0"/>
        <v>748.44</v>
      </c>
      <c r="J28" s="9">
        <f t="shared" si="1"/>
        <v>97070.329999999987</v>
      </c>
      <c r="K28" s="15"/>
      <c r="L28" s="15"/>
      <c r="M28" s="16"/>
      <c r="N28"/>
      <c r="O28"/>
      <c r="P28"/>
      <c r="Q28"/>
      <c r="R28"/>
      <c r="S28"/>
    </row>
    <row r="29" spans="1:19" s="7" customFormat="1">
      <c r="A29" s="60" t="s">
        <v>54</v>
      </c>
      <c r="B29" s="6">
        <v>44377</v>
      </c>
      <c r="C29" s="8">
        <v>597.5</v>
      </c>
      <c r="D29" s="59">
        <v>3.77</v>
      </c>
      <c r="E29" s="59"/>
      <c r="F29" s="9"/>
      <c r="G29" s="3"/>
      <c r="H29" s="8"/>
      <c r="I29" s="9">
        <f t="shared" ref="I29:I60" si="2">SUM(C29:G29)</f>
        <v>601.27</v>
      </c>
      <c r="J29" s="9">
        <f t="shared" ref="J29:J60" si="3">J28+H29-I29</f>
        <v>96469.059999999983</v>
      </c>
      <c r="K29" s="15"/>
      <c r="L29" s="15"/>
      <c r="M29" s="16"/>
      <c r="N29"/>
      <c r="O29"/>
      <c r="P29"/>
      <c r="Q29"/>
      <c r="R29"/>
      <c r="S29"/>
    </row>
    <row r="30" spans="1:19" s="7" customFormat="1" ht="15.75">
      <c r="A30" s="11" t="s">
        <v>55</v>
      </c>
      <c r="B30" s="6">
        <v>44377</v>
      </c>
      <c r="C30" s="8">
        <v>118.75</v>
      </c>
      <c r="D30" s="59">
        <v>0.75</v>
      </c>
      <c r="E30" s="59"/>
      <c r="F30" s="9"/>
      <c r="G30" s="3"/>
      <c r="H30" s="8"/>
      <c r="I30" s="9">
        <f t="shared" si="2"/>
        <v>119.5</v>
      </c>
      <c r="J30" s="9">
        <f t="shared" si="3"/>
        <v>96349.559999999983</v>
      </c>
      <c r="K30" s="15"/>
      <c r="L30" s="15"/>
      <c r="M30" s="16"/>
      <c r="N30"/>
      <c r="O30"/>
      <c r="P30"/>
      <c r="Q30"/>
      <c r="R30"/>
      <c r="S30"/>
    </row>
    <row r="31" spans="1:19" s="7" customFormat="1">
      <c r="A31" s="14" t="s">
        <v>56</v>
      </c>
      <c r="B31" s="6">
        <v>44377</v>
      </c>
      <c r="C31" s="8"/>
      <c r="D31" s="56"/>
      <c r="E31" s="55"/>
      <c r="F31" s="9">
        <v>686.5</v>
      </c>
      <c r="G31" s="8"/>
      <c r="H31" s="8"/>
      <c r="I31" s="9">
        <f t="shared" si="2"/>
        <v>686.5</v>
      </c>
      <c r="J31" s="9">
        <f t="shared" si="3"/>
        <v>95663.059999999983</v>
      </c>
      <c r="K31" s="15"/>
      <c r="L31" s="15"/>
      <c r="M31" s="16"/>
      <c r="N31"/>
      <c r="O31"/>
      <c r="P31"/>
      <c r="Q31"/>
      <c r="R31"/>
      <c r="S31"/>
    </row>
    <row r="32" spans="1:19" s="7" customFormat="1">
      <c r="A32" s="60" t="s">
        <v>57</v>
      </c>
      <c r="B32" s="6">
        <v>44377</v>
      </c>
      <c r="C32" s="8">
        <v>100</v>
      </c>
      <c r="D32" s="59">
        <v>0.64</v>
      </c>
      <c r="E32" s="9"/>
      <c r="F32" s="9"/>
      <c r="G32" s="9"/>
      <c r="H32" s="8"/>
      <c r="I32" s="9">
        <f t="shared" si="2"/>
        <v>100.64</v>
      </c>
      <c r="J32" s="9">
        <f t="shared" si="3"/>
        <v>95562.419999999984</v>
      </c>
      <c r="K32" s="15"/>
      <c r="L32" s="15"/>
      <c r="M32" s="52"/>
      <c r="N32"/>
      <c r="O32"/>
      <c r="P32"/>
      <c r="Q32"/>
      <c r="R32"/>
      <c r="S32"/>
    </row>
    <row r="33" spans="1:19" s="7" customFormat="1" ht="15.75">
      <c r="A33" s="11" t="s">
        <v>58</v>
      </c>
      <c r="B33" s="6">
        <v>44377</v>
      </c>
      <c r="C33" s="8">
        <v>150</v>
      </c>
      <c r="D33" s="59">
        <v>0.95</v>
      </c>
      <c r="E33" s="9"/>
      <c r="F33" s="9"/>
      <c r="G33" s="9"/>
      <c r="H33" s="8"/>
      <c r="I33" s="9">
        <f t="shared" si="2"/>
        <v>150.94999999999999</v>
      </c>
      <c r="J33" s="9">
        <f t="shared" si="3"/>
        <v>95411.469999999987</v>
      </c>
      <c r="K33" s="15"/>
      <c r="L33" s="15"/>
      <c r="M33" s="16"/>
      <c r="N33"/>
      <c r="O33"/>
      <c r="P33"/>
      <c r="Q33"/>
      <c r="R33"/>
      <c r="S33"/>
    </row>
    <row r="34" spans="1:19" s="7" customFormat="1">
      <c r="A34" s="60" t="s">
        <v>59</v>
      </c>
      <c r="B34" s="6">
        <v>44377</v>
      </c>
      <c r="C34" s="8">
        <v>262.5</v>
      </c>
      <c r="D34" s="56">
        <f>16.28+3.81+1.66</f>
        <v>21.75</v>
      </c>
      <c r="E34" s="9"/>
      <c r="F34" s="9"/>
      <c r="G34" s="9"/>
      <c r="H34" s="8"/>
      <c r="I34" s="9">
        <f t="shared" si="2"/>
        <v>284.25</v>
      </c>
      <c r="J34" s="9">
        <f t="shared" si="3"/>
        <v>95127.219999999987</v>
      </c>
      <c r="K34" s="15"/>
      <c r="L34" s="15"/>
      <c r="M34" s="16"/>
      <c r="N34"/>
      <c r="O34"/>
      <c r="P34"/>
      <c r="Q34"/>
      <c r="R34"/>
      <c r="S34"/>
    </row>
    <row r="35" spans="1:19" s="7" customFormat="1">
      <c r="A35" s="60" t="s">
        <v>60</v>
      </c>
      <c r="B35" s="6">
        <v>44377</v>
      </c>
      <c r="C35" s="8">
        <v>775</v>
      </c>
      <c r="D35" s="56">
        <f>48.05+11.23+4.88</f>
        <v>64.16</v>
      </c>
      <c r="E35" s="9"/>
      <c r="F35" s="9"/>
      <c r="G35" s="9"/>
      <c r="H35" s="8"/>
      <c r="I35" s="9">
        <f t="shared" si="2"/>
        <v>839.16</v>
      </c>
      <c r="J35" s="9">
        <f t="shared" si="3"/>
        <v>94288.059999999983</v>
      </c>
      <c r="K35" s="15"/>
      <c r="L35" s="15"/>
      <c r="M35" s="52"/>
      <c r="N35"/>
      <c r="O35"/>
      <c r="P35"/>
      <c r="Q35"/>
      <c r="R35"/>
      <c r="S35"/>
    </row>
    <row r="36" spans="1:19" s="7" customFormat="1">
      <c r="A36" s="60" t="s">
        <v>61</v>
      </c>
      <c r="B36" s="6">
        <v>44377</v>
      </c>
      <c r="C36" s="8">
        <v>687.5</v>
      </c>
      <c r="D36" s="56">
        <f>42.62+9.97+4.33</f>
        <v>56.919999999999995</v>
      </c>
      <c r="E36" s="9"/>
      <c r="F36" s="9"/>
      <c r="G36" s="9"/>
      <c r="H36" s="8"/>
      <c r="I36" s="9">
        <f t="shared" si="2"/>
        <v>744.42</v>
      </c>
      <c r="J36" s="9">
        <f t="shared" si="3"/>
        <v>93543.639999999985</v>
      </c>
      <c r="K36" s="15"/>
      <c r="L36" s="15"/>
      <c r="M36" s="16"/>
      <c r="N36"/>
      <c r="O36"/>
      <c r="P36"/>
      <c r="Q36"/>
      <c r="R36"/>
      <c r="S36"/>
    </row>
    <row r="37" spans="1:19" s="7" customFormat="1" ht="15.75">
      <c r="A37" s="11" t="s">
        <v>62</v>
      </c>
      <c r="B37" s="6">
        <v>44377</v>
      </c>
      <c r="C37" s="8">
        <v>156.25</v>
      </c>
      <c r="D37" s="56">
        <f>9.69+2.27+0.98</f>
        <v>12.94</v>
      </c>
      <c r="E37" s="9"/>
      <c r="F37" s="9"/>
      <c r="G37" s="9"/>
      <c r="H37" s="8"/>
      <c r="I37" s="9">
        <f t="shared" si="2"/>
        <v>169.19</v>
      </c>
      <c r="J37" s="9">
        <f t="shared" si="3"/>
        <v>93374.449999999983</v>
      </c>
      <c r="K37" s="15">
        <f>SUM(I19:I37)</f>
        <v>12038.920000000002</v>
      </c>
      <c r="L37" s="15">
        <v>93374.449999999953</v>
      </c>
      <c r="M37" s="61" t="s">
        <v>63</v>
      </c>
      <c r="N37"/>
      <c r="O37"/>
      <c r="P37"/>
      <c r="Q37"/>
      <c r="R37"/>
      <c r="S37"/>
    </row>
    <row r="38" spans="1:19" s="7" customFormat="1" ht="15.75">
      <c r="A38" s="57" t="s">
        <v>64</v>
      </c>
      <c r="B38" s="51">
        <v>44408</v>
      </c>
      <c r="C38" s="8">
        <v>531.25</v>
      </c>
      <c r="D38" s="56">
        <f>32.94+7.7+2.02</f>
        <v>42.660000000000004</v>
      </c>
      <c r="E38" s="59"/>
      <c r="F38" s="9"/>
      <c r="G38" s="9"/>
      <c r="H38" s="8"/>
      <c r="I38" s="9">
        <f t="shared" si="2"/>
        <v>573.91</v>
      </c>
      <c r="J38" s="9">
        <f t="shared" si="3"/>
        <v>92800.539999999979</v>
      </c>
      <c r="K38" s="15"/>
      <c r="L38" s="15"/>
      <c r="M38" s="16"/>
      <c r="N38"/>
      <c r="O38"/>
      <c r="P38"/>
      <c r="Q38"/>
      <c r="R38"/>
      <c r="S38"/>
    </row>
    <row r="39" spans="1:19" s="7" customFormat="1" ht="15.75">
      <c r="A39" s="57" t="s">
        <v>65</v>
      </c>
      <c r="B39" s="51">
        <v>44408</v>
      </c>
      <c r="C39" s="8">
        <v>1037.4000000000001</v>
      </c>
      <c r="D39" s="9">
        <f>14.27+3.94</f>
        <v>18.21</v>
      </c>
      <c r="E39" s="59"/>
      <c r="F39" s="9"/>
      <c r="G39" s="9"/>
      <c r="H39" s="8"/>
      <c r="I39" s="9">
        <f t="shared" si="2"/>
        <v>1055.6100000000001</v>
      </c>
      <c r="J39" s="9">
        <f t="shared" si="3"/>
        <v>91744.929999999978</v>
      </c>
      <c r="K39" s="15"/>
      <c r="L39" s="15"/>
      <c r="M39" s="16"/>
      <c r="N39"/>
      <c r="O39"/>
      <c r="P39"/>
      <c r="Q39"/>
      <c r="R39"/>
      <c r="S39"/>
    </row>
    <row r="40" spans="1:19" s="7" customFormat="1" ht="15.75">
      <c r="A40" s="57" t="s">
        <v>66</v>
      </c>
      <c r="B40" s="51">
        <v>44408</v>
      </c>
      <c r="C40" s="8">
        <v>542.5</v>
      </c>
      <c r="D40" s="56">
        <v>2.06</v>
      </c>
      <c r="E40" s="59"/>
      <c r="F40" s="9"/>
      <c r="G40" s="9"/>
      <c r="H40" s="8"/>
      <c r="I40" s="9">
        <f t="shared" si="2"/>
        <v>544.55999999999995</v>
      </c>
      <c r="J40" s="9">
        <f t="shared" si="3"/>
        <v>91200.369999999981</v>
      </c>
      <c r="K40" s="15"/>
      <c r="L40" s="15"/>
      <c r="M40" s="16"/>
      <c r="N40"/>
      <c r="O40"/>
      <c r="P40"/>
      <c r="Q40"/>
      <c r="R40"/>
      <c r="S40"/>
    </row>
    <row r="41" spans="1:19" s="7" customFormat="1" ht="15.75">
      <c r="A41" s="57" t="s">
        <v>67</v>
      </c>
      <c r="B41" s="51">
        <v>44408</v>
      </c>
      <c r="C41" s="8">
        <v>550</v>
      </c>
      <c r="D41" s="56">
        <v>2.09</v>
      </c>
      <c r="E41" s="59"/>
      <c r="F41" s="9"/>
      <c r="G41" s="9"/>
      <c r="H41" s="8"/>
      <c r="I41" s="9">
        <f t="shared" si="2"/>
        <v>552.09</v>
      </c>
      <c r="J41" s="9">
        <f t="shared" si="3"/>
        <v>90648.279999999984</v>
      </c>
      <c r="K41" s="15"/>
      <c r="L41" s="15"/>
      <c r="M41" s="52"/>
      <c r="N41"/>
      <c r="O41"/>
      <c r="P41"/>
      <c r="Q41"/>
      <c r="R41"/>
      <c r="S41"/>
    </row>
    <row r="42" spans="1:19" s="7" customFormat="1" ht="15.75">
      <c r="A42" s="57" t="s">
        <v>68</v>
      </c>
      <c r="B42" s="51">
        <v>44408</v>
      </c>
      <c r="C42" s="8">
        <v>587.5</v>
      </c>
      <c r="D42" s="56">
        <f>36.42+8.52+2.23</f>
        <v>47.169999999999995</v>
      </c>
      <c r="E42" s="59"/>
      <c r="F42" s="9"/>
      <c r="G42" s="9"/>
      <c r="H42" s="8"/>
      <c r="I42" s="9">
        <f t="shared" si="2"/>
        <v>634.66999999999996</v>
      </c>
      <c r="J42" s="9">
        <f t="shared" si="3"/>
        <v>90013.609999999986</v>
      </c>
      <c r="K42" s="15">
        <f>SUM(I38:I42)</f>
        <v>3360.84</v>
      </c>
      <c r="L42" s="15">
        <v>90013.609999999957</v>
      </c>
      <c r="M42" s="52" t="s">
        <v>69</v>
      </c>
      <c r="N42"/>
      <c r="O42"/>
      <c r="P42"/>
      <c r="Q42"/>
      <c r="R42"/>
      <c r="S42"/>
    </row>
    <row r="43" spans="1:19" s="7" customFormat="1">
      <c r="A43" s="57" t="s">
        <v>70</v>
      </c>
      <c r="B43" s="51">
        <v>44439</v>
      </c>
      <c r="C43" s="8">
        <v>850</v>
      </c>
      <c r="D43" s="56">
        <f>52.7+12.33+3.23</f>
        <v>68.260000000000005</v>
      </c>
      <c r="E43" s="9"/>
      <c r="F43" s="9"/>
      <c r="G43" s="9"/>
      <c r="H43" s="8"/>
      <c r="I43" s="9">
        <f t="shared" si="2"/>
        <v>918.26</v>
      </c>
      <c r="J43" s="9">
        <f t="shared" si="3"/>
        <v>89095.349999999991</v>
      </c>
      <c r="K43" s="15"/>
      <c r="L43" s="15"/>
      <c r="M43" s="16"/>
      <c r="N43"/>
      <c r="O43"/>
      <c r="P43"/>
      <c r="Q43"/>
      <c r="R43"/>
      <c r="S43"/>
    </row>
    <row r="44" spans="1:19" s="7" customFormat="1">
      <c r="A44" s="57" t="s">
        <v>71</v>
      </c>
      <c r="B44" s="51">
        <v>44439</v>
      </c>
      <c r="C44" s="8">
        <v>956.25</v>
      </c>
      <c r="D44" s="56">
        <f>59.29+13.86+3.64</f>
        <v>76.790000000000006</v>
      </c>
      <c r="E44" s="9"/>
      <c r="F44" s="9"/>
      <c r="G44" s="9"/>
      <c r="H44" s="8"/>
      <c r="I44" s="9">
        <f t="shared" si="2"/>
        <v>1033.04</v>
      </c>
      <c r="J44" s="9">
        <f t="shared" si="3"/>
        <v>88062.31</v>
      </c>
      <c r="K44" s="15"/>
      <c r="L44" s="15"/>
      <c r="M44" s="16"/>
      <c r="N44"/>
      <c r="O44"/>
      <c r="P44"/>
      <c r="Q44"/>
      <c r="R44"/>
      <c r="S44"/>
    </row>
    <row r="45" spans="1:19" s="7" customFormat="1">
      <c r="A45" s="53" t="s">
        <v>72</v>
      </c>
      <c r="B45" s="51">
        <v>44439</v>
      </c>
      <c r="C45" s="8">
        <f>(2964*0.7)</f>
        <v>2074.7999999999997</v>
      </c>
      <c r="D45" s="9">
        <f>28.54+7.89</f>
        <v>36.43</v>
      </c>
      <c r="E45" s="9"/>
      <c r="F45" s="9"/>
      <c r="G45" s="9"/>
      <c r="H45" s="8"/>
      <c r="I45" s="9">
        <f t="shared" si="2"/>
        <v>2111.2299999999996</v>
      </c>
      <c r="J45" s="9">
        <f t="shared" si="3"/>
        <v>85951.08</v>
      </c>
      <c r="K45" s="15"/>
      <c r="L45" s="15"/>
      <c r="M45" s="16"/>
      <c r="N45"/>
      <c r="O45"/>
      <c r="P45"/>
      <c r="Q45"/>
      <c r="R45"/>
      <c r="S45"/>
    </row>
    <row r="46" spans="1:19" s="7" customFormat="1">
      <c r="A46" s="57" t="s">
        <v>73</v>
      </c>
      <c r="B46" s="51">
        <v>44439</v>
      </c>
      <c r="C46" s="8">
        <v>487.5</v>
      </c>
      <c r="D46" s="56">
        <v>1.8529129802751947</v>
      </c>
      <c r="E46" s="9"/>
      <c r="F46" s="9"/>
      <c r="G46" s="9"/>
      <c r="H46" s="8"/>
      <c r="I46" s="9">
        <f t="shared" si="2"/>
        <v>489.35291298027522</v>
      </c>
      <c r="J46" s="9">
        <f t="shared" si="3"/>
        <v>85461.727087019724</v>
      </c>
      <c r="K46" s="15"/>
      <c r="L46" s="15"/>
      <c r="M46" s="16"/>
      <c r="N46"/>
      <c r="O46"/>
      <c r="P46"/>
      <c r="Q46"/>
      <c r="R46"/>
      <c r="S46"/>
    </row>
    <row r="47" spans="1:19" s="7" customFormat="1">
      <c r="A47" s="57" t="s">
        <v>74</v>
      </c>
      <c r="B47" s="51">
        <v>44439</v>
      </c>
      <c r="C47" s="8">
        <v>592.5</v>
      </c>
      <c r="D47" s="56">
        <v>2.2520019298729288</v>
      </c>
      <c r="E47" s="9"/>
      <c r="F47" s="9"/>
      <c r="G47" s="9"/>
      <c r="H47" s="8"/>
      <c r="I47" s="9">
        <f t="shared" si="2"/>
        <v>594.7520019298729</v>
      </c>
      <c r="J47" s="9">
        <f t="shared" si="3"/>
        <v>84866.975085089856</v>
      </c>
      <c r="K47" s="15"/>
      <c r="L47" s="15"/>
      <c r="M47" s="16"/>
      <c r="N47"/>
      <c r="O47"/>
      <c r="P47"/>
      <c r="Q47"/>
      <c r="R47"/>
      <c r="S47"/>
    </row>
    <row r="48" spans="1:19" s="7" customFormat="1">
      <c r="A48" s="57" t="s">
        <v>75</v>
      </c>
      <c r="B48" s="51">
        <v>44439</v>
      </c>
      <c r="C48" s="8">
        <v>650</v>
      </c>
      <c r="D48" s="56">
        <v>2.470550640366926</v>
      </c>
      <c r="E48" s="9"/>
      <c r="F48" s="9"/>
      <c r="G48" s="9"/>
      <c r="H48" s="8"/>
      <c r="I48" s="9">
        <f t="shared" si="2"/>
        <v>652.47055064036692</v>
      </c>
      <c r="J48" s="9">
        <f t="shared" si="3"/>
        <v>84214.504534449487</v>
      </c>
      <c r="K48" s="15"/>
      <c r="L48" s="15"/>
      <c r="M48" s="16"/>
      <c r="N48"/>
      <c r="O48"/>
      <c r="P48"/>
      <c r="Q48"/>
      <c r="R48"/>
      <c r="S48"/>
    </row>
    <row r="49" spans="1:19" s="7" customFormat="1">
      <c r="A49" s="57" t="s">
        <v>76</v>
      </c>
      <c r="B49" s="51">
        <v>44439</v>
      </c>
      <c r="C49" s="8">
        <v>731.25</v>
      </c>
      <c r="D49" s="56">
        <v>2.7793694704127918</v>
      </c>
      <c r="E49" s="9"/>
      <c r="F49" s="9"/>
      <c r="G49" s="9"/>
      <c r="H49" s="8"/>
      <c r="I49" s="9">
        <f t="shared" si="2"/>
        <v>734.0293694704128</v>
      </c>
      <c r="J49" s="9">
        <f t="shared" si="3"/>
        <v>83480.475164979071</v>
      </c>
      <c r="K49" s="15"/>
      <c r="L49" s="15"/>
      <c r="M49" s="16"/>
      <c r="N49"/>
      <c r="O49"/>
      <c r="P49"/>
      <c r="Q49"/>
      <c r="R49"/>
      <c r="S49"/>
    </row>
    <row r="50" spans="1:19" s="7" customFormat="1">
      <c r="A50" s="57" t="s">
        <v>77</v>
      </c>
      <c r="B50" s="51">
        <v>44439</v>
      </c>
      <c r="C50" s="8">
        <v>687.5</v>
      </c>
      <c r="D50" s="56">
        <f>42.63+9.97+2.61</f>
        <v>55.21</v>
      </c>
      <c r="E50" s="8"/>
      <c r="F50" s="8"/>
      <c r="G50" s="8"/>
      <c r="H50" s="8"/>
      <c r="I50" s="9">
        <f t="shared" si="2"/>
        <v>742.71</v>
      </c>
      <c r="J50" s="9">
        <f t="shared" si="3"/>
        <v>82737.765164979064</v>
      </c>
      <c r="K50" s="15"/>
      <c r="L50" s="15"/>
      <c r="M50" s="16"/>
      <c r="N50"/>
      <c r="O50"/>
      <c r="P50"/>
      <c r="Q50"/>
      <c r="R50"/>
      <c r="S50"/>
    </row>
    <row r="51" spans="1:19" s="7" customFormat="1">
      <c r="A51" s="57" t="s">
        <v>78</v>
      </c>
      <c r="B51" s="51">
        <v>44439</v>
      </c>
      <c r="C51" s="8">
        <v>950</v>
      </c>
      <c r="D51" s="56">
        <f>58.9+13.77+3.61</f>
        <v>76.28</v>
      </c>
      <c r="E51" s="9"/>
      <c r="F51" s="9"/>
      <c r="G51" s="9"/>
      <c r="H51" s="8"/>
      <c r="I51" s="9">
        <f t="shared" si="2"/>
        <v>1026.28</v>
      </c>
      <c r="J51" s="9">
        <f t="shared" si="3"/>
        <v>81711.485164979065</v>
      </c>
      <c r="K51" s="15">
        <f>SUM(I43:I51)</f>
        <v>8302.124835020928</v>
      </c>
      <c r="L51" s="15">
        <f>81711.49-0</f>
        <v>81711.490000000005</v>
      </c>
      <c r="M51" s="52" t="s">
        <v>79</v>
      </c>
      <c r="N51"/>
      <c r="O51"/>
      <c r="P51"/>
      <c r="Q51"/>
      <c r="R51"/>
      <c r="S51"/>
    </row>
    <row r="52" spans="1:19" s="7" customFormat="1">
      <c r="A52" s="57" t="s">
        <v>80</v>
      </c>
      <c r="B52" s="51">
        <v>44469</v>
      </c>
      <c r="C52" s="8">
        <v>568.75</v>
      </c>
      <c r="D52" s="56">
        <f>35.26+8.25+2.16</f>
        <v>45.67</v>
      </c>
      <c r="E52" s="9"/>
      <c r="F52" s="8"/>
      <c r="G52" s="9"/>
      <c r="H52" s="8"/>
      <c r="I52" s="9">
        <f t="shared" si="2"/>
        <v>614.41999999999996</v>
      </c>
      <c r="J52" s="9">
        <f t="shared" si="3"/>
        <v>81097.065164979067</v>
      </c>
      <c r="K52" s="15"/>
      <c r="L52" s="15"/>
      <c r="M52" s="16"/>
      <c r="N52"/>
      <c r="O52"/>
      <c r="P52"/>
      <c r="Q52"/>
      <c r="R52"/>
      <c r="S52"/>
    </row>
    <row r="53" spans="1:19" s="7" customFormat="1" ht="15.75">
      <c r="A53" s="53" t="s">
        <v>81</v>
      </c>
      <c r="B53" s="51">
        <v>44469</v>
      </c>
      <c r="C53" s="8">
        <v>902.08</v>
      </c>
      <c r="D53" s="9">
        <f>11.54+3.43</f>
        <v>14.969999999999999</v>
      </c>
      <c r="E53" s="9"/>
      <c r="F53" s="9"/>
      <c r="G53" s="9"/>
      <c r="H53" s="8"/>
      <c r="I53" s="9">
        <f t="shared" si="2"/>
        <v>917.05000000000007</v>
      </c>
      <c r="J53" s="9">
        <f t="shared" si="3"/>
        <v>80180.015164979064</v>
      </c>
      <c r="K53" s="15"/>
      <c r="L53" s="15"/>
      <c r="M53" s="16"/>
      <c r="N53"/>
      <c r="O53"/>
      <c r="P53"/>
      <c r="Q53"/>
      <c r="R53"/>
      <c r="S53"/>
    </row>
    <row r="54" spans="1:19" s="7" customFormat="1">
      <c r="A54" s="57" t="s">
        <v>82</v>
      </c>
      <c r="B54" s="51">
        <v>44469</v>
      </c>
      <c r="C54" s="8">
        <v>650</v>
      </c>
      <c r="D54" s="56">
        <v>2.4700000000000002</v>
      </c>
      <c r="E54" s="9"/>
      <c r="F54" s="9"/>
      <c r="G54" s="9"/>
      <c r="H54" s="8"/>
      <c r="I54" s="9">
        <f t="shared" si="2"/>
        <v>652.47</v>
      </c>
      <c r="J54" s="9">
        <f t="shared" si="3"/>
        <v>79527.545164979063</v>
      </c>
      <c r="K54" s="15"/>
      <c r="L54" s="15"/>
      <c r="M54" s="16"/>
      <c r="N54"/>
      <c r="O54"/>
      <c r="P54"/>
      <c r="Q54"/>
      <c r="R54"/>
      <c r="S54"/>
    </row>
    <row r="55" spans="1:19" s="7" customFormat="1">
      <c r="A55" s="14" t="s">
        <v>83</v>
      </c>
      <c r="B55" s="51">
        <v>44469</v>
      </c>
      <c r="C55" s="8"/>
      <c r="D55" s="56"/>
      <c r="E55" s="9"/>
      <c r="F55" s="9">
        <v>25.98</v>
      </c>
      <c r="G55" s="9"/>
      <c r="H55" s="8"/>
      <c r="I55" s="9">
        <f t="shared" si="2"/>
        <v>25.98</v>
      </c>
      <c r="J55" s="9">
        <f t="shared" si="3"/>
        <v>79501.565164979067</v>
      </c>
      <c r="K55" s="15"/>
      <c r="L55" s="15"/>
      <c r="M55" s="16"/>
      <c r="N55"/>
      <c r="O55"/>
      <c r="P55"/>
      <c r="Q55"/>
      <c r="R55"/>
      <c r="S55"/>
    </row>
    <row r="56" spans="1:19" s="7" customFormat="1">
      <c r="A56" s="57" t="s">
        <v>84</v>
      </c>
      <c r="B56" s="51">
        <v>44469</v>
      </c>
      <c r="C56" s="8">
        <v>687.5</v>
      </c>
      <c r="D56" s="56">
        <v>2.62</v>
      </c>
      <c r="E56" s="9"/>
      <c r="F56" s="9"/>
      <c r="G56" s="9"/>
      <c r="H56" s="8"/>
      <c r="I56" s="9">
        <f t="shared" si="2"/>
        <v>690.12</v>
      </c>
      <c r="J56" s="9">
        <f t="shared" si="3"/>
        <v>78811.445164979072</v>
      </c>
      <c r="K56" s="15"/>
      <c r="L56" s="15"/>
      <c r="M56" s="16"/>
      <c r="N56"/>
      <c r="O56"/>
      <c r="P56"/>
      <c r="Q56"/>
      <c r="R56"/>
      <c r="S56"/>
    </row>
    <row r="57" spans="1:19" s="7" customFormat="1">
      <c r="A57" s="57" t="s">
        <v>85</v>
      </c>
      <c r="B57" s="51">
        <v>44469</v>
      </c>
      <c r="C57" s="8">
        <v>725</v>
      </c>
      <c r="D57" s="56">
        <f>44.95+10.51+2.75</f>
        <v>58.21</v>
      </c>
      <c r="E57" s="9"/>
      <c r="F57" s="9"/>
      <c r="G57" s="9"/>
      <c r="H57" s="8"/>
      <c r="I57" s="9">
        <f t="shared" si="2"/>
        <v>783.21</v>
      </c>
      <c r="J57" s="9">
        <f t="shared" si="3"/>
        <v>78028.235164979065</v>
      </c>
      <c r="K57" s="15"/>
      <c r="L57" s="15"/>
      <c r="M57" s="16"/>
      <c r="N57"/>
      <c r="O57"/>
      <c r="P57"/>
      <c r="Q57"/>
      <c r="R57"/>
      <c r="S57"/>
    </row>
    <row r="58" spans="1:19" s="7" customFormat="1">
      <c r="A58" s="57" t="s">
        <v>86</v>
      </c>
      <c r="B58" s="51">
        <v>44469</v>
      </c>
      <c r="C58" s="8">
        <v>18.75</v>
      </c>
      <c r="D58" s="56">
        <v>7.0000000000000007E-2</v>
      </c>
      <c r="E58" s="9"/>
      <c r="F58" s="9"/>
      <c r="G58" s="9"/>
      <c r="H58" s="8"/>
      <c r="I58" s="9">
        <f t="shared" si="2"/>
        <v>18.82</v>
      </c>
      <c r="J58" s="9">
        <f t="shared" si="3"/>
        <v>78009.415164979058</v>
      </c>
      <c r="K58" s="15"/>
      <c r="L58" s="15"/>
      <c r="M58" s="16"/>
      <c r="N58"/>
      <c r="O58"/>
      <c r="P58"/>
      <c r="Q58"/>
      <c r="R58"/>
      <c r="S58"/>
    </row>
    <row r="59" spans="1:19" s="7" customFormat="1">
      <c r="A59" s="57" t="s">
        <v>87</v>
      </c>
      <c r="B59" s="51">
        <v>44469</v>
      </c>
      <c r="C59" s="8">
        <v>256.25</v>
      </c>
      <c r="D59" s="56">
        <v>0.97</v>
      </c>
      <c r="E59" s="9"/>
      <c r="F59" s="9"/>
      <c r="G59" s="9"/>
      <c r="H59" s="8"/>
      <c r="I59" s="9">
        <f t="shared" si="2"/>
        <v>257.22000000000003</v>
      </c>
      <c r="J59" s="9">
        <f t="shared" si="3"/>
        <v>77752.195164979057</v>
      </c>
      <c r="K59" s="15">
        <f>SUM(I52:I59)</f>
        <v>3959.29</v>
      </c>
      <c r="L59" s="15">
        <f>77752.2-0</f>
        <v>77752.2</v>
      </c>
      <c r="M59" s="52" t="s">
        <v>88</v>
      </c>
      <c r="N59"/>
      <c r="O59"/>
      <c r="P59"/>
      <c r="Q59"/>
      <c r="R59"/>
      <c r="S59"/>
    </row>
    <row r="60" spans="1:19" s="7" customFormat="1">
      <c r="A60" s="11" t="s">
        <v>89</v>
      </c>
      <c r="B60" s="51">
        <v>44500</v>
      </c>
      <c r="C60" s="8"/>
      <c r="D60" s="56"/>
      <c r="E60" s="9"/>
      <c r="F60" s="9">
        <v>2327.42</v>
      </c>
      <c r="G60" s="9"/>
      <c r="H60" s="8"/>
      <c r="I60" s="9">
        <f t="shared" si="2"/>
        <v>2327.42</v>
      </c>
      <c r="J60" s="9">
        <f t="shared" si="3"/>
        <v>75424.775164979059</v>
      </c>
      <c r="K60" s="15"/>
      <c r="L60" s="15"/>
      <c r="M60" s="16"/>
      <c r="N60"/>
      <c r="O60"/>
      <c r="P60"/>
      <c r="Q60"/>
      <c r="R60"/>
      <c r="S60"/>
    </row>
    <row r="61" spans="1:19" s="7" customFormat="1">
      <c r="A61" s="57" t="s">
        <v>90</v>
      </c>
      <c r="B61" s="51">
        <v>44500</v>
      </c>
      <c r="C61" s="8">
        <v>100</v>
      </c>
      <c r="D61" s="56">
        <v>0.38</v>
      </c>
      <c r="E61" s="9"/>
      <c r="F61" s="9"/>
      <c r="G61" s="9"/>
      <c r="H61" s="8"/>
      <c r="I61" s="9">
        <f t="shared" ref="I61:I92" si="4">SUM(C61:G61)</f>
        <v>100.38</v>
      </c>
      <c r="J61" s="9">
        <f t="shared" ref="J61:J92" si="5">J60+H61-I61</f>
        <v>75324.395164979054</v>
      </c>
      <c r="K61" s="15"/>
      <c r="L61" s="15"/>
      <c r="M61" s="16"/>
      <c r="N61"/>
      <c r="O61"/>
      <c r="P61"/>
      <c r="Q61"/>
      <c r="R61"/>
      <c r="S61"/>
    </row>
    <row r="62" spans="1:19" s="7" customFormat="1">
      <c r="A62" s="57" t="s">
        <v>91</v>
      </c>
      <c r="B62" s="51">
        <v>44500</v>
      </c>
      <c r="C62" s="8">
        <v>106.25</v>
      </c>
      <c r="D62" s="56">
        <v>0.4</v>
      </c>
      <c r="E62" s="9"/>
      <c r="F62" s="9"/>
      <c r="G62" s="9"/>
      <c r="H62" s="8"/>
      <c r="I62" s="9">
        <f t="shared" si="4"/>
        <v>106.65</v>
      </c>
      <c r="J62" s="9">
        <f t="shared" si="5"/>
        <v>75217.74516497906</v>
      </c>
      <c r="K62" s="15">
        <f>SUM(I60:I62)</f>
        <v>2534.4500000000003</v>
      </c>
      <c r="L62" s="15">
        <f>75217.75-0</f>
        <v>75217.75</v>
      </c>
      <c r="M62" s="52" t="s">
        <v>92</v>
      </c>
      <c r="N62"/>
      <c r="O62"/>
      <c r="P62"/>
      <c r="Q62"/>
      <c r="R62"/>
      <c r="S62"/>
    </row>
    <row r="63" spans="1:19" s="7" customFormat="1">
      <c r="A63" s="11" t="s">
        <v>93</v>
      </c>
      <c r="B63" s="51">
        <v>44530</v>
      </c>
      <c r="C63" s="51"/>
      <c r="D63"/>
      <c r="E63"/>
      <c r="F63" s="9">
        <v>-222.33</v>
      </c>
      <c r="G63" s="9">
        <v>1352</v>
      </c>
      <c r="H63" s="8"/>
      <c r="I63" s="9">
        <f t="shared" si="4"/>
        <v>1129.67</v>
      </c>
      <c r="J63" s="9">
        <f t="shared" si="5"/>
        <v>74088.075164979062</v>
      </c>
      <c r="K63" s="15"/>
      <c r="L63" s="15"/>
      <c r="M63" s="52"/>
      <c r="N63"/>
      <c r="O63"/>
      <c r="P63"/>
      <c r="Q63"/>
      <c r="R63"/>
      <c r="S63"/>
    </row>
    <row r="64" spans="1:19" s="7" customFormat="1">
      <c r="A64" s="57" t="s">
        <v>94</v>
      </c>
      <c r="B64" s="51">
        <v>44530</v>
      </c>
      <c r="C64" s="8">
        <v>225</v>
      </c>
      <c r="D64" s="56">
        <v>0.86</v>
      </c>
      <c r="E64" s="9"/>
      <c r="F64" s="9"/>
      <c r="G64" s="9"/>
      <c r="H64" s="8"/>
      <c r="I64" s="9">
        <f t="shared" si="4"/>
        <v>225.86</v>
      </c>
      <c r="J64" s="9">
        <f t="shared" si="5"/>
        <v>73862.215164979061</v>
      </c>
      <c r="K64" s="15"/>
      <c r="L64" s="15"/>
      <c r="M64" s="52"/>
      <c r="N64"/>
      <c r="O64"/>
      <c r="P64"/>
      <c r="Q64"/>
      <c r="R64"/>
      <c r="S64"/>
    </row>
    <row r="65" spans="1:19" s="7" customFormat="1">
      <c r="A65" s="57" t="s">
        <v>95</v>
      </c>
      <c r="B65" s="51">
        <v>44530</v>
      </c>
      <c r="C65" s="8">
        <v>31.25</v>
      </c>
      <c r="D65" s="56">
        <v>0.12</v>
      </c>
      <c r="E65" s="9"/>
      <c r="F65" s="9"/>
      <c r="G65" s="9"/>
      <c r="H65" s="8"/>
      <c r="I65" s="9">
        <f t="shared" si="4"/>
        <v>31.37</v>
      </c>
      <c r="J65" s="9">
        <f t="shared" si="5"/>
        <v>73830.845164979066</v>
      </c>
      <c r="K65" s="15">
        <f>SUM(I63:I65)</f>
        <v>1386.9</v>
      </c>
      <c r="L65" s="15">
        <f>73830.85-0</f>
        <v>73830.850000000006</v>
      </c>
      <c r="M65" s="52" t="s">
        <v>96</v>
      </c>
      <c r="N65"/>
      <c r="O65"/>
      <c r="P65"/>
      <c r="Q65"/>
      <c r="R65"/>
      <c r="S65"/>
    </row>
    <row r="66" spans="1:19" s="7" customFormat="1">
      <c r="A66" s="57" t="s">
        <v>97</v>
      </c>
      <c r="B66" s="51">
        <v>44561</v>
      </c>
      <c r="C66" s="8">
        <v>1.25</v>
      </c>
      <c r="D66" s="56"/>
      <c r="E66"/>
      <c r="F66" s="9"/>
      <c r="G66" s="9"/>
      <c r="H66" s="8"/>
      <c r="I66" s="9">
        <f t="shared" si="4"/>
        <v>1.25</v>
      </c>
      <c r="J66" s="9">
        <f t="shared" si="5"/>
        <v>73829.595164979066</v>
      </c>
      <c r="K66" s="15"/>
      <c r="L66" s="15"/>
      <c r="M66" s="52"/>
      <c r="N66"/>
      <c r="O66"/>
      <c r="P66"/>
      <c r="Q66"/>
      <c r="R66"/>
      <c r="S66"/>
    </row>
    <row r="67" spans="1:19" s="7" customFormat="1">
      <c r="A67" s="57" t="s">
        <v>98</v>
      </c>
      <c r="B67" s="51">
        <v>44561</v>
      </c>
      <c r="C67" s="8">
        <v>50</v>
      </c>
      <c r="D67" s="56">
        <v>0.19</v>
      </c>
      <c r="E67"/>
      <c r="F67" s="9"/>
      <c r="G67" s="9"/>
      <c r="H67" s="8"/>
      <c r="I67" s="9">
        <f t="shared" si="4"/>
        <v>50.19</v>
      </c>
      <c r="J67" s="9">
        <f t="shared" si="5"/>
        <v>73779.405164979064</v>
      </c>
      <c r="K67" s="15">
        <f>SUM(I66:I67)</f>
        <v>51.44</v>
      </c>
      <c r="L67" s="15">
        <f>73779.41-0</f>
        <v>73779.41</v>
      </c>
      <c r="M67" s="52" t="s">
        <v>99</v>
      </c>
      <c r="N67"/>
      <c r="O67"/>
      <c r="P67"/>
      <c r="Q67"/>
      <c r="R67"/>
      <c r="S67"/>
    </row>
    <row r="68" spans="1:19" s="7" customFormat="1">
      <c r="A68" s="7" t="s">
        <v>100</v>
      </c>
      <c r="B68" s="6">
        <v>44681</v>
      </c>
      <c r="C68" s="8"/>
      <c r="D68" s="8"/>
      <c r="E68" s="8"/>
      <c r="F68" s="9">
        <v>5.98</v>
      </c>
      <c r="G68" s="9"/>
      <c r="H68" s="8"/>
      <c r="I68" s="9">
        <f t="shared" si="4"/>
        <v>5.98</v>
      </c>
      <c r="J68" s="9">
        <f t="shared" si="5"/>
        <v>73773.425164979068</v>
      </c>
      <c r="K68" s="15"/>
      <c r="L68" s="15"/>
      <c r="M68" s="52"/>
      <c r="N68"/>
      <c r="O68"/>
      <c r="P68"/>
      <c r="Q68"/>
      <c r="R68"/>
      <c r="S68"/>
    </row>
    <row r="69" spans="1:19" s="7" customFormat="1">
      <c r="A69" s="7" t="s">
        <v>101</v>
      </c>
      <c r="B69" s="6">
        <v>44681</v>
      </c>
      <c r="C69" s="8"/>
      <c r="D69" s="8"/>
      <c r="E69" s="8"/>
      <c r="F69" s="9">
        <v>866.04</v>
      </c>
      <c r="G69" s="9"/>
      <c r="H69" s="8"/>
      <c r="I69" s="9">
        <f t="shared" si="4"/>
        <v>866.04</v>
      </c>
      <c r="J69" s="9">
        <f t="shared" si="5"/>
        <v>72907.385164979074</v>
      </c>
      <c r="K69" s="15"/>
      <c r="L69" s="15"/>
      <c r="M69" s="52"/>
      <c r="N69"/>
      <c r="O69"/>
      <c r="P69"/>
      <c r="Q69"/>
      <c r="R69"/>
      <c r="S69"/>
    </row>
    <row r="70" spans="1:19" s="7" customFormat="1">
      <c r="A70" s="57" t="s">
        <v>102</v>
      </c>
      <c r="B70" s="6">
        <v>44681</v>
      </c>
      <c r="C70" s="8">
        <v>54</v>
      </c>
      <c r="D70">
        <v>0.21</v>
      </c>
      <c r="E70"/>
      <c r="F70" s="9"/>
      <c r="G70" s="9"/>
      <c r="H70" s="8"/>
      <c r="I70" s="9">
        <f t="shared" si="4"/>
        <v>54.21</v>
      </c>
      <c r="J70" s="9">
        <f t="shared" si="5"/>
        <v>72853.175164979068</v>
      </c>
      <c r="K70" s="15"/>
      <c r="L70" s="15"/>
      <c r="M70" s="16"/>
    </row>
    <row r="71" spans="1:19" s="7" customFormat="1">
      <c r="A71" s="57" t="s">
        <v>103</v>
      </c>
      <c r="B71" s="6">
        <v>44681</v>
      </c>
      <c r="C71" s="8">
        <v>310.5</v>
      </c>
      <c r="D71">
        <v>1.18</v>
      </c>
      <c r="E71"/>
      <c r="F71" s="9"/>
      <c r="G71" s="9"/>
      <c r="H71" s="8"/>
      <c r="I71" s="9">
        <f t="shared" si="4"/>
        <v>311.68</v>
      </c>
      <c r="J71" s="9">
        <f t="shared" si="5"/>
        <v>72541.495164979075</v>
      </c>
      <c r="K71" s="15">
        <f>SUM(I68:I71)</f>
        <v>1237.9100000000001</v>
      </c>
      <c r="L71" s="15">
        <f>72541.5</f>
        <v>72541.5</v>
      </c>
      <c r="M71" s="16" t="s">
        <v>104</v>
      </c>
    </row>
    <row r="72" spans="1:19" s="7" customFormat="1">
      <c r="A72" t="s">
        <v>105</v>
      </c>
      <c r="B72" s="6">
        <v>44712</v>
      </c>
      <c r="C72" s="8"/>
      <c r="D72" s="8"/>
      <c r="E72" s="8"/>
      <c r="F72" s="9">
        <v>51.98</v>
      </c>
      <c r="G72" s="9"/>
      <c r="H72" s="8"/>
      <c r="I72" s="9">
        <f t="shared" si="4"/>
        <v>51.98</v>
      </c>
      <c r="J72" s="9">
        <f t="shared" si="5"/>
        <v>72489.515164979079</v>
      </c>
      <c r="K72" s="15"/>
      <c r="L72" s="15"/>
      <c r="M72" s="16"/>
    </row>
    <row r="73" spans="1:19" s="7" customFormat="1">
      <c r="A73" s="57" t="s">
        <v>106</v>
      </c>
      <c r="B73" s="6">
        <v>44712</v>
      </c>
      <c r="C73" s="8">
        <v>74.25</v>
      </c>
      <c r="D73">
        <v>0.28000000000000003</v>
      </c>
      <c r="E73"/>
      <c r="F73" s="9"/>
      <c r="G73" s="9"/>
      <c r="H73" s="8"/>
      <c r="I73" s="9">
        <f t="shared" si="4"/>
        <v>74.53</v>
      </c>
      <c r="J73" s="9">
        <f t="shared" si="5"/>
        <v>72414.98516497908</v>
      </c>
      <c r="K73" s="15">
        <f>SUM(I72:I73)</f>
        <v>126.50999999999999</v>
      </c>
      <c r="L73" s="15">
        <f>72414.99</f>
        <v>72414.990000000005</v>
      </c>
      <c r="M73" s="16" t="s">
        <v>107</v>
      </c>
    </row>
    <row r="74" spans="1:19" s="7" customFormat="1">
      <c r="A74" s="57" t="s">
        <v>108</v>
      </c>
      <c r="B74" s="51">
        <v>44742</v>
      </c>
      <c r="C74" s="8"/>
      <c r="D74"/>
      <c r="E74"/>
      <c r="F74" s="9">
        <f>14.78+271.22</f>
        <v>286</v>
      </c>
      <c r="G74" s="9"/>
      <c r="H74" s="8"/>
      <c r="I74" s="9">
        <f t="shared" si="4"/>
        <v>286</v>
      </c>
      <c r="J74" s="9">
        <f t="shared" si="5"/>
        <v>72128.98516497908</v>
      </c>
      <c r="K74" s="15"/>
      <c r="L74" s="15"/>
      <c r="M74" s="16"/>
    </row>
    <row r="75" spans="1:19" s="7" customFormat="1">
      <c r="A75" s="57" t="s">
        <v>109</v>
      </c>
      <c r="B75" s="51">
        <v>44742</v>
      </c>
      <c r="C75" s="8">
        <v>750</v>
      </c>
      <c r="D75">
        <f>46.5+10.88+2.85</f>
        <v>60.230000000000004</v>
      </c>
      <c r="E75"/>
      <c r="F75" s="9"/>
      <c r="G75" s="9"/>
      <c r="H75" s="8"/>
      <c r="I75" s="9">
        <f t="shared" si="4"/>
        <v>810.23</v>
      </c>
      <c r="J75" s="9">
        <f t="shared" si="5"/>
        <v>71318.755164979084</v>
      </c>
      <c r="K75" s="15"/>
      <c r="L75" s="15"/>
      <c r="M75" s="16"/>
    </row>
    <row r="76" spans="1:19" s="7" customFormat="1">
      <c r="A76" s="57" t="s">
        <v>110</v>
      </c>
      <c r="B76" s="51">
        <v>44742</v>
      </c>
      <c r="C76" s="8">
        <v>1000</v>
      </c>
      <c r="D76">
        <f>62+14.5+3.8</f>
        <v>80.3</v>
      </c>
      <c r="E76"/>
      <c r="F76" s="9"/>
      <c r="G76" s="9"/>
      <c r="H76" s="8"/>
      <c r="I76" s="9">
        <f t="shared" si="4"/>
        <v>1080.3</v>
      </c>
      <c r="J76" s="9">
        <f t="shared" si="5"/>
        <v>70238.455164979081</v>
      </c>
      <c r="K76" s="15"/>
      <c r="L76" s="15"/>
      <c r="M76" s="16"/>
    </row>
    <row r="77" spans="1:19" s="7" customFormat="1">
      <c r="A77" s="57" t="s">
        <v>111</v>
      </c>
      <c r="B77" s="51">
        <v>44742</v>
      </c>
      <c r="C77" s="8">
        <v>1000</v>
      </c>
      <c r="D77">
        <f>62+14.5+3.8</f>
        <v>80.3</v>
      </c>
      <c r="E77"/>
      <c r="F77" s="9"/>
      <c r="G77" s="9"/>
      <c r="H77" s="8"/>
      <c r="I77" s="9">
        <f t="shared" si="4"/>
        <v>1080.3</v>
      </c>
      <c r="J77" s="9">
        <f t="shared" si="5"/>
        <v>69158.155164979078</v>
      </c>
      <c r="K77" s="15"/>
      <c r="L77" s="15"/>
      <c r="M77" s="16"/>
    </row>
    <row r="78" spans="1:19" s="7" customFormat="1">
      <c r="A78" s="57" t="s">
        <v>112</v>
      </c>
      <c r="B78" s="51">
        <v>44742</v>
      </c>
      <c r="C78" s="8">
        <v>400</v>
      </c>
      <c r="D78">
        <f>24.8+5.8+1.52</f>
        <v>32.120000000000005</v>
      </c>
      <c r="E78"/>
      <c r="F78" s="9"/>
      <c r="G78" s="9"/>
      <c r="H78" s="8"/>
      <c r="I78" s="9">
        <f t="shared" si="4"/>
        <v>432.12</v>
      </c>
      <c r="J78" s="9">
        <f t="shared" si="5"/>
        <v>68726.035164979083</v>
      </c>
      <c r="K78" s="15"/>
      <c r="L78" s="15"/>
      <c r="M78" s="16"/>
    </row>
    <row r="79" spans="1:19" s="7" customFormat="1">
      <c r="A79" s="57" t="s">
        <v>113</v>
      </c>
      <c r="B79" s="51">
        <v>44742</v>
      </c>
      <c r="C79" s="8">
        <v>703.75</v>
      </c>
      <c r="D79">
        <f>43.63+10.2+2.68</f>
        <v>56.51</v>
      </c>
      <c r="E79"/>
      <c r="F79" s="9"/>
      <c r="G79" s="9"/>
      <c r="H79" s="8"/>
      <c r="I79" s="9">
        <f t="shared" si="4"/>
        <v>760.26</v>
      </c>
      <c r="J79" s="9">
        <f t="shared" si="5"/>
        <v>67965.775164979088</v>
      </c>
      <c r="K79" s="15"/>
      <c r="L79" s="15"/>
      <c r="M79" s="16"/>
    </row>
    <row r="80" spans="1:19" s="7" customFormat="1">
      <c r="A80" s="57" t="s">
        <v>114</v>
      </c>
      <c r="B80" s="51">
        <v>44742</v>
      </c>
      <c r="C80" s="8">
        <v>868.75</v>
      </c>
      <c r="D80">
        <f>53.87+12.6+3.3</f>
        <v>69.77</v>
      </c>
      <c r="E80"/>
      <c r="F80" s="9"/>
      <c r="G80" s="9"/>
      <c r="H80" s="8"/>
      <c r="I80" s="9">
        <f t="shared" si="4"/>
        <v>938.52</v>
      </c>
      <c r="J80" s="9">
        <f t="shared" si="5"/>
        <v>67027.255164979084</v>
      </c>
      <c r="K80" s="15"/>
      <c r="L80" s="15"/>
      <c r="M80" s="16"/>
    </row>
    <row r="81" spans="1:13" s="7" customFormat="1">
      <c r="A81" s="57" t="s">
        <v>115</v>
      </c>
      <c r="B81" s="51">
        <v>44742</v>
      </c>
      <c r="C81" s="8">
        <v>893.75</v>
      </c>
      <c r="D81">
        <f>55.41+12.96+3.4</f>
        <v>71.77000000000001</v>
      </c>
      <c r="E81"/>
      <c r="F81" s="9"/>
      <c r="G81" s="9"/>
      <c r="H81" s="8"/>
      <c r="I81" s="9">
        <f t="shared" si="4"/>
        <v>965.52</v>
      </c>
      <c r="J81" s="9">
        <f t="shared" si="5"/>
        <v>66061.73516497908</v>
      </c>
      <c r="K81" s="15"/>
      <c r="L81" s="15"/>
      <c r="M81" s="16"/>
    </row>
    <row r="82" spans="1:13" s="7" customFormat="1">
      <c r="A82" s="57" t="s">
        <v>116</v>
      </c>
      <c r="B82" s="51">
        <v>44742</v>
      </c>
      <c r="C82" s="8">
        <v>393.75</v>
      </c>
      <c r="D82">
        <f>24.41+5.71+1.49</f>
        <v>31.61</v>
      </c>
      <c r="E82"/>
      <c r="F82" s="9"/>
      <c r="G82" s="9"/>
      <c r="H82" s="8"/>
      <c r="I82" s="9">
        <f t="shared" si="4"/>
        <v>425.36</v>
      </c>
      <c r="J82" s="9">
        <f t="shared" si="5"/>
        <v>65636.375164979079</v>
      </c>
      <c r="K82" s="15"/>
      <c r="L82" s="15"/>
      <c r="M82" s="16"/>
    </row>
    <row r="83" spans="1:13" s="7" customFormat="1">
      <c r="A83" s="57" t="s">
        <v>117</v>
      </c>
      <c r="B83" s="51">
        <v>44742</v>
      </c>
      <c r="C83" s="8">
        <v>471.75</v>
      </c>
      <c r="D83">
        <f>29.25+6.84+1.79</f>
        <v>37.880000000000003</v>
      </c>
      <c r="E83"/>
      <c r="F83" s="9"/>
      <c r="G83" s="9"/>
      <c r="H83" s="8"/>
      <c r="I83" s="9">
        <f t="shared" si="4"/>
        <v>509.63</v>
      </c>
      <c r="J83" s="9">
        <f t="shared" si="5"/>
        <v>65126.745164979082</v>
      </c>
      <c r="K83" s="15"/>
      <c r="L83" s="15"/>
      <c r="M83" s="16"/>
    </row>
    <row r="84" spans="1:13" s="7" customFormat="1">
      <c r="A84" s="57" t="s">
        <v>118</v>
      </c>
      <c r="B84" s="51">
        <v>44742</v>
      </c>
      <c r="C84" s="8">
        <v>1239.5</v>
      </c>
      <c r="D84">
        <f>76.85+17.97+4.71</f>
        <v>99.529999999999987</v>
      </c>
      <c r="E84"/>
      <c r="F84" s="9"/>
      <c r="G84" s="9"/>
      <c r="H84" s="8"/>
      <c r="I84" s="9">
        <f t="shared" si="4"/>
        <v>1339.03</v>
      </c>
      <c r="J84" s="9">
        <f t="shared" si="5"/>
        <v>63787.715164979083</v>
      </c>
      <c r="K84" s="15"/>
      <c r="L84" s="15"/>
      <c r="M84" s="16"/>
    </row>
    <row r="85" spans="1:13" s="7" customFormat="1">
      <c r="A85" s="57" t="s">
        <v>119</v>
      </c>
      <c r="B85" s="51">
        <v>44742</v>
      </c>
      <c r="C85" s="8">
        <v>1100.75</v>
      </c>
      <c r="D85">
        <f>68.24+15.96+4.18</f>
        <v>88.38</v>
      </c>
      <c r="E85"/>
      <c r="F85" s="9"/>
      <c r="G85" s="9"/>
      <c r="H85" s="8"/>
      <c r="I85" s="9">
        <f t="shared" si="4"/>
        <v>1189.1300000000001</v>
      </c>
      <c r="J85" s="9">
        <f t="shared" si="5"/>
        <v>62598.585164979086</v>
      </c>
      <c r="K85" s="15"/>
      <c r="L85" s="15"/>
      <c r="M85" s="16"/>
    </row>
    <row r="86" spans="1:13" s="7" customFormat="1">
      <c r="A86" s="57" t="s">
        <v>120</v>
      </c>
      <c r="B86" s="51">
        <v>44742</v>
      </c>
      <c r="C86" s="8">
        <v>592</v>
      </c>
      <c r="D86">
        <f>36.71+8.58+2.25</f>
        <v>47.54</v>
      </c>
      <c r="E86"/>
      <c r="F86" s="9"/>
      <c r="G86" s="9"/>
      <c r="H86" s="8"/>
      <c r="I86" s="9">
        <f t="shared" si="4"/>
        <v>639.54</v>
      </c>
      <c r="J86" s="9">
        <f t="shared" si="5"/>
        <v>61959.045164979085</v>
      </c>
      <c r="K86" s="15">
        <f>SUM(I74:I86)</f>
        <v>10455.940000000002</v>
      </c>
      <c r="L86" s="15">
        <f>61959.05-0</f>
        <v>61959.05</v>
      </c>
      <c r="M86" s="16" t="s">
        <v>121</v>
      </c>
    </row>
    <row r="87" spans="1:13" s="7" customFormat="1">
      <c r="A87" s="57" t="s">
        <v>122</v>
      </c>
      <c r="B87" s="51">
        <v>44773</v>
      </c>
      <c r="C87" s="8">
        <v>600</v>
      </c>
      <c r="D87">
        <f>37.2+8.7+1.32</f>
        <v>47.220000000000006</v>
      </c>
      <c r="E87"/>
      <c r="F87" s="9"/>
      <c r="G87" s="9"/>
      <c r="H87" s="8"/>
      <c r="I87" s="9">
        <f t="shared" si="4"/>
        <v>647.22</v>
      </c>
      <c r="J87" s="9">
        <f t="shared" si="5"/>
        <v>61311.825164979084</v>
      </c>
      <c r="K87" s="15"/>
      <c r="L87" s="15"/>
      <c r="M87" s="16"/>
    </row>
    <row r="88" spans="1:13" s="7" customFormat="1">
      <c r="A88" s="57" t="s">
        <v>123</v>
      </c>
      <c r="B88" s="51">
        <v>44773</v>
      </c>
      <c r="C88" s="8">
        <v>512.5</v>
      </c>
      <c r="D88">
        <f>31.78+7.43+1.13</f>
        <v>40.340000000000003</v>
      </c>
      <c r="E88"/>
      <c r="F88" s="9"/>
      <c r="G88" s="9"/>
      <c r="H88" s="8"/>
      <c r="I88" s="9">
        <f t="shared" si="4"/>
        <v>552.84</v>
      </c>
      <c r="J88" s="9">
        <f t="shared" si="5"/>
        <v>60758.985164979087</v>
      </c>
      <c r="K88" s="15"/>
      <c r="L88" s="15"/>
      <c r="M88" s="16"/>
    </row>
    <row r="89" spans="1:13" s="7" customFormat="1">
      <c r="A89" s="57" t="s">
        <v>124</v>
      </c>
      <c r="B89" s="51">
        <v>44773</v>
      </c>
      <c r="C89" s="8">
        <v>481</v>
      </c>
      <c r="D89">
        <f>29.82+6.98+1.06</f>
        <v>37.86</v>
      </c>
      <c r="E89"/>
      <c r="F89"/>
      <c r="G89" s="9"/>
      <c r="H89" s="8"/>
      <c r="I89" s="9">
        <f t="shared" si="4"/>
        <v>518.86</v>
      </c>
      <c r="J89" s="9">
        <f t="shared" si="5"/>
        <v>60240.125164979087</v>
      </c>
      <c r="K89" s="15">
        <f>SUM(I87:I89)</f>
        <v>1718.92</v>
      </c>
      <c r="L89" s="15">
        <f>60240.13-0</f>
        <v>60240.13</v>
      </c>
      <c r="M89" s="16" t="s">
        <v>125</v>
      </c>
    </row>
    <row r="90" spans="1:13" s="7" customFormat="1">
      <c r="A90" s="57" t="s">
        <v>126</v>
      </c>
      <c r="B90" s="51">
        <v>44804</v>
      </c>
      <c r="C90" s="8">
        <v>500</v>
      </c>
      <c r="D90">
        <f>31+7.25+1.1</f>
        <v>39.35</v>
      </c>
      <c r="E90"/>
      <c r="F90"/>
      <c r="G90" s="9"/>
      <c r="H90" s="8"/>
      <c r="I90" s="9">
        <f t="shared" si="4"/>
        <v>539.35</v>
      </c>
      <c r="J90" s="9">
        <f t="shared" si="5"/>
        <v>59700.775164979088</v>
      </c>
      <c r="K90" s="15"/>
      <c r="L90" s="15"/>
      <c r="M90" s="16"/>
    </row>
    <row r="91" spans="1:13" s="7" customFormat="1">
      <c r="A91" s="57" t="s">
        <v>127</v>
      </c>
      <c r="B91" s="51">
        <v>44804</v>
      </c>
      <c r="C91" s="8">
        <v>500</v>
      </c>
      <c r="D91">
        <f>31+7.25+1.1</f>
        <v>39.35</v>
      </c>
      <c r="E91"/>
      <c r="F91"/>
      <c r="G91" s="9"/>
      <c r="H91" s="8"/>
      <c r="I91" s="9">
        <f t="shared" si="4"/>
        <v>539.35</v>
      </c>
      <c r="J91" s="9">
        <f t="shared" si="5"/>
        <v>59161.425164979089</v>
      </c>
      <c r="K91" s="15"/>
      <c r="L91" s="15"/>
      <c r="M91" s="16"/>
    </row>
    <row r="92" spans="1:13" s="7" customFormat="1">
      <c r="A92" s="57" t="s">
        <v>128</v>
      </c>
      <c r="B92" s="51">
        <v>44804</v>
      </c>
      <c r="C92" s="8">
        <v>825</v>
      </c>
      <c r="D92">
        <f>51.15+11.96+1.82</f>
        <v>64.929999999999993</v>
      </c>
      <c r="E92"/>
      <c r="F92"/>
      <c r="G92" s="9"/>
      <c r="H92" s="8"/>
      <c r="I92" s="9">
        <f t="shared" si="4"/>
        <v>889.93</v>
      </c>
      <c r="J92" s="9">
        <f t="shared" si="5"/>
        <v>58271.495164979089</v>
      </c>
      <c r="K92" s="15"/>
      <c r="L92" s="15"/>
      <c r="M92" s="16"/>
    </row>
    <row r="93" spans="1:13" s="7" customFormat="1">
      <c r="A93" s="57" t="s">
        <v>129</v>
      </c>
      <c r="B93" s="51">
        <v>44804</v>
      </c>
      <c r="C93" s="8">
        <v>1073</v>
      </c>
      <c r="D93">
        <f>66.53+15.56+2.36</f>
        <v>84.45</v>
      </c>
      <c r="E93"/>
      <c r="F93"/>
      <c r="G93" s="9"/>
      <c r="H93" s="8"/>
      <c r="I93" s="9">
        <f t="shared" ref="I93:I122" si="6">SUM(C93:G93)</f>
        <v>1157.45</v>
      </c>
      <c r="J93" s="9">
        <f t="shared" ref="J93:J113" si="7">J92+H93-I93</f>
        <v>57114.045164979092</v>
      </c>
      <c r="K93" s="15"/>
      <c r="L93" s="15"/>
      <c r="M93" s="16"/>
    </row>
    <row r="94" spans="1:13" s="7" customFormat="1">
      <c r="A94" s="57" t="s">
        <v>130</v>
      </c>
      <c r="B94" s="51">
        <v>44804</v>
      </c>
      <c r="C94" s="8">
        <v>1480</v>
      </c>
      <c r="D94">
        <f>91.76+21.46+3.25</f>
        <v>116.47</v>
      </c>
      <c r="E94"/>
      <c r="F94"/>
      <c r="G94" s="9"/>
      <c r="H94" s="8"/>
      <c r="I94" s="9">
        <f t="shared" si="6"/>
        <v>1596.47</v>
      </c>
      <c r="J94" s="9">
        <f t="shared" si="7"/>
        <v>55517.575164979091</v>
      </c>
      <c r="K94" s="15">
        <f>SUM(I90:I94)</f>
        <v>4722.55</v>
      </c>
      <c r="L94" s="15">
        <f>55517.58</f>
        <v>55517.58</v>
      </c>
      <c r="M94" s="52" t="s">
        <v>131</v>
      </c>
    </row>
    <row r="95" spans="1:13" s="7" customFormat="1">
      <c r="A95" t="s">
        <v>132</v>
      </c>
      <c r="B95" s="51">
        <v>44865</v>
      </c>
      <c r="C95" s="8">
        <v>140</v>
      </c>
      <c r="D95">
        <f>8.68+2.03+0.31</f>
        <v>11.02</v>
      </c>
      <c r="E95"/>
      <c r="F95" s="9"/>
      <c r="G95" s="9"/>
      <c r="H95" s="8"/>
      <c r="I95" s="9">
        <f t="shared" si="6"/>
        <v>151.02000000000001</v>
      </c>
      <c r="J95" s="9">
        <f t="shared" si="7"/>
        <v>55366.555164979094</v>
      </c>
      <c r="K95" s="15"/>
      <c r="L95" s="15"/>
      <c r="M95" s="52"/>
    </row>
    <row r="96" spans="1:13" s="7" customFormat="1">
      <c r="A96" t="s">
        <v>133</v>
      </c>
      <c r="B96" s="51">
        <v>44865</v>
      </c>
      <c r="C96" s="8">
        <v>672</v>
      </c>
      <c r="D96">
        <f>41.66+9.74+1.48</f>
        <v>52.879999999999995</v>
      </c>
      <c r="E96"/>
      <c r="F96" s="9"/>
      <c r="G96" s="9"/>
      <c r="H96" s="8"/>
      <c r="I96" s="9">
        <f t="shared" si="6"/>
        <v>724.88</v>
      </c>
      <c r="J96" s="9">
        <f t="shared" si="7"/>
        <v>54641.675164979097</v>
      </c>
      <c r="K96" s="15"/>
      <c r="L96" s="15"/>
      <c r="M96" s="52"/>
    </row>
    <row r="97" spans="1:256" s="7" customFormat="1">
      <c r="A97" t="s">
        <v>134</v>
      </c>
      <c r="B97" s="51">
        <v>44865</v>
      </c>
      <c r="C97" s="8">
        <v>1120</v>
      </c>
      <c r="D97">
        <f>(69.44+16.24)+2.46</f>
        <v>88.139999999999986</v>
      </c>
      <c r="E97"/>
      <c r="F97" s="9"/>
      <c r="G97" s="9"/>
      <c r="H97" s="8"/>
      <c r="I97" s="9">
        <f t="shared" si="6"/>
        <v>1208.1399999999999</v>
      </c>
      <c r="J97" s="9">
        <f t="shared" si="7"/>
        <v>53433.535164979097</v>
      </c>
      <c r="K97" s="15">
        <f>SUM(I95:I97)</f>
        <v>2084.04</v>
      </c>
      <c r="L97" s="15">
        <v>53433.535164979097</v>
      </c>
      <c r="M97" s="16" t="s">
        <v>135</v>
      </c>
    </row>
    <row r="98" spans="1:256" s="7" customFormat="1">
      <c r="A98" t="s">
        <v>136</v>
      </c>
      <c r="B98" s="51">
        <v>44895</v>
      </c>
      <c r="C98" s="8">
        <v>801.84</v>
      </c>
      <c r="D98">
        <f>49.72+11.63+1.77</f>
        <v>63.120000000000005</v>
      </c>
      <c r="E98" s="8"/>
      <c r="F98" s="8"/>
      <c r="G98" s="8"/>
      <c r="H98" s="8"/>
      <c r="I98" s="9">
        <f t="shared" si="6"/>
        <v>864.96</v>
      </c>
      <c r="J98" s="9">
        <f t="shared" si="7"/>
        <v>52568.575164979098</v>
      </c>
      <c r="K98" s="15"/>
      <c r="L98" s="15"/>
      <c r="M98" s="52"/>
    </row>
    <row r="99" spans="1:256" s="7" customFormat="1">
      <c r="A99" t="s">
        <v>137</v>
      </c>
      <c r="B99" s="51">
        <v>44895</v>
      </c>
      <c r="C99" s="8">
        <v>400.92</v>
      </c>
      <c r="D99">
        <f>24.86+5.81+0.88</f>
        <v>31.549999999999997</v>
      </c>
      <c r="E99" s="9"/>
      <c r="F99"/>
      <c r="G99" s="9"/>
      <c r="H99" s="8"/>
      <c r="I99" s="9">
        <f t="shared" si="6"/>
        <v>432.47</v>
      </c>
      <c r="J99" s="9">
        <f t="shared" si="7"/>
        <v>52136.105164979097</v>
      </c>
      <c r="K99" s="15"/>
      <c r="L99" s="15"/>
    </row>
    <row r="100" spans="1:256" s="7" customFormat="1">
      <c r="A100" t="s">
        <v>138</v>
      </c>
      <c r="B100" s="51">
        <v>44895</v>
      </c>
      <c r="C100" s="8">
        <v>1120</v>
      </c>
      <c r="D100">
        <f>69.44+16.24+2.46</f>
        <v>88.139999999999986</v>
      </c>
      <c r="E100" s="9"/>
      <c r="F100"/>
      <c r="G100" s="9"/>
      <c r="H100" s="8"/>
      <c r="I100" s="9">
        <f t="shared" si="6"/>
        <v>1208.1399999999999</v>
      </c>
      <c r="J100" s="9">
        <f t="shared" si="7"/>
        <v>50927.965164979098</v>
      </c>
      <c r="K100" s="15"/>
      <c r="L100" s="15"/>
      <c r="M100" s="52"/>
    </row>
    <row r="101" spans="1:256" s="7" customFormat="1">
      <c r="A101" t="s">
        <v>139</v>
      </c>
      <c r="B101" s="51">
        <v>44895</v>
      </c>
      <c r="C101" s="8">
        <v>1008</v>
      </c>
      <c r="D101">
        <f>62.5+14.62+2.22</f>
        <v>79.34</v>
      </c>
      <c r="E101" s="9"/>
      <c r="F101"/>
      <c r="G101" s="9"/>
      <c r="H101" s="8"/>
      <c r="I101" s="9">
        <f t="shared" si="6"/>
        <v>1087.3399999999999</v>
      </c>
      <c r="J101" s="9">
        <f t="shared" si="7"/>
        <v>49840.625164979101</v>
      </c>
      <c r="K101" s="15">
        <f>SUM(I98:I101)</f>
        <v>3592.91</v>
      </c>
      <c r="L101" s="15">
        <f>49840.63-0</f>
        <v>49840.63</v>
      </c>
      <c r="M101" s="52" t="s">
        <v>140</v>
      </c>
    </row>
    <row r="102" spans="1:256" s="7" customFormat="1">
      <c r="A102" s="57" t="s">
        <v>141</v>
      </c>
      <c r="B102" s="51">
        <v>44926</v>
      </c>
      <c r="C102" s="8"/>
      <c r="D102"/>
      <c r="E102"/>
      <c r="F102">
        <v>16.989999999999998</v>
      </c>
      <c r="G102" s="9"/>
      <c r="H102" s="8"/>
      <c r="I102" s="9">
        <f t="shared" si="6"/>
        <v>16.989999999999998</v>
      </c>
      <c r="J102" s="9">
        <f t="shared" si="7"/>
        <v>49823.635164979103</v>
      </c>
      <c r="K102" s="15"/>
      <c r="L102" s="15"/>
    </row>
    <row r="103" spans="1:256" s="7" customFormat="1">
      <c r="A103" s="7" t="s">
        <v>142</v>
      </c>
      <c r="B103" s="51">
        <v>44926</v>
      </c>
      <c r="C103" s="8">
        <v>298.12</v>
      </c>
      <c r="D103">
        <f>18.48+4.32+0.65</f>
        <v>23.45</v>
      </c>
      <c r="E103" s="9"/>
      <c r="F103"/>
      <c r="G103" s="9"/>
      <c r="H103" s="8"/>
      <c r="I103" s="9">
        <f t="shared" si="6"/>
        <v>321.57</v>
      </c>
      <c r="J103" s="9">
        <f t="shared" si="7"/>
        <v>49502.065164979103</v>
      </c>
      <c r="K103" s="15"/>
      <c r="L103" s="15"/>
      <c r="M103" s="52"/>
    </row>
    <row r="104" spans="1:256" s="7" customFormat="1">
      <c r="A104" t="s">
        <v>143</v>
      </c>
      <c r="B104" s="51">
        <v>44926</v>
      </c>
      <c r="C104" s="8">
        <v>896</v>
      </c>
      <c r="D104">
        <f>55.55+12.99+1.97</f>
        <v>70.509999999999991</v>
      </c>
      <c r="E104" s="9"/>
      <c r="F104"/>
      <c r="G104" s="9"/>
      <c r="H104" s="8"/>
      <c r="I104" s="9">
        <f t="shared" si="6"/>
        <v>966.51</v>
      </c>
      <c r="J104" s="9">
        <f t="shared" si="7"/>
        <v>48535.555164979101</v>
      </c>
      <c r="K104" s="15"/>
      <c r="L104" s="15"/>
      <c r="M104" s="52"/>
    </row>
    <row r="105" spans="1:256" s="7" customFormat="1">
      <c r="A105" t="s">
        <v>144</v>
      </c>
      <c r="B105" s="51">
        <v>44926</v>
      </c>
      <c r="C105" s="8">
        <v>1036</v>
      </c>
      <c r="D105">
        <f>64.23+15.02+2.28</f>
        <v>81.53</v>
      </c>
      <c r="E105" s="9"/>
      <c r="F105"/>
      <c r="G105" s="9"/>
      <c r="H105" s="8"/>
      <c r="I105" s="9">
        <f t="shared" si="6"/>
        <v>1117.53</v>
      </c>
      <c r="J105" s="9">
        <f t="shared" si="7"/>
        <v>47418.025164979103</v>
      </c>
      <c r="K105" s="15">
        <f>SUM(I102:I105)</f>
        <v>2422.6</v>
      </c>
      <c r="L105" s="15">
        <f>47418.03</f>
        <v>47418.03</v>
      </c>
      <c r="M105" s="16" t="s">
        <v>145</v>
      </c>
    </row>
    <row r="106" spans="1:256" s="7" customFormat="1">
      <c r="A106" t="s">
        <v>146</v>
      </c>
      <c r="B106" s="51">
        <v>44957</v>
      </c>
      <c r="C106" s="8">
        <v>257</v>
      </c>
      <c r="D106">
        <f>15.93+3.73+0.57</f>
        <v>20.23</v>
      </c>
      <c r="E106"/>
      <c r="F106"/>
      <c r="G106"/>
      <c r="H106"/>
      <c r="I106" s="9">
        <f t="shared" si="6"/>
        <v>277.23</v>
      </c>
      <c r="J106" s="9">
        <f t="shared" si="7"/>
        <v>47140.795164979099</v>
      </c>
      <c r="K106"/>
      <c r="L106" s="15"/>
      <c r="M106"/>
      <c r="N106"/>
      <c r="O106"/>
      <c r="P106"/>
      <c r="Q106"/>
      <c r="R106"/>
      <c r="S106"/>
      <c r="T106"/>
      <c r="U106"/>
      <c r="V106"/>
      <c r="W106"/>
      <c r="X106"/>
      <c r="Y106"/>
      <c r="Z106"/>
      <c r="AA106"/>
      <c r="AB106"/>
      <c r="AC106"/>
      <c r="AD106"/>
      <c r="AE106"/>
      <c r="AF106"/>
      <c r="AG106"/>
      <c r="AH106"/>
      <c r="AI106"/>
      <c r="AJ106"/>
      <c r="AK106"/>
      <c r="AL106"/>
      <c r="AM106"/>
      <c r="AN106"/>
      <c r="AO106"/>
      <c r="AP106"/>
      <c r="AQ106"/>
      <c r="AR106"/>
      <c r="AS106"/>
      <c r="AT106"/>
      <c r="AU106"/>
      <c r="AV106"/>
      <c r="AW106"/>
      <c r="AX106"/>
      <c r="AY106"/>
      <c r="AZ106"/>
      <c r="BA106"/>
      <c r="BB106"/>
      <c r="BC106"/>
      <c r="BD106"/>
      <c r="BE106"/>
      <c r="BF106"/>
      <c r="BG106"/>
      <c r="BH106"/>
      <c r="BI106"/>
      <c r="BJ106"/>
      <c r="BK106"/>
      <c r="BL106"/>
      <c r="BM106"/>
      <c r="BN106"/>
      <c r="BO106"/>
      <c r="BP106"/>
      <c r="BQ106"/>
      <c r="BR106"/>
      <c r="BS106"/>
      <c r="BT106"/>
      <c r="BU106"/>
      <c r="BV106"/>
      <c r="BW106"/>
      <c r="BX106"/>
      <c r="BY106"/>
      <c r="BZ106"/>
      <c r="CA106"/>
      <c r="CB106"/>
      <c r="CC106"/>
      <c r="CD106"/>
      <c r="CE106"/>
      <c r="CF106"/>
      <c r="CG106"/>
      <c r="CH106"/>
      <c r="CI106"/>
      <c r="CJ106"/>
      <c r="CK106"/>
      <c r="CL106"/>
      <c r="CM106"/>
      <c r="CN106"/>
      <c r="CO106"/>
      <c r="CP106"/>
      <c r="CQ106"/>
      <c r="CR106"/>
      <c r="CS106"/>
      <c r="CT106"/>
      <c r="CU106"/>
      <c r="CV106"/>
      <c r="CW106"/>
      <c r="CX106"/>
      <c r="CY106"/>
      <c r="CZ106"/>
      <c r="DA106"/>
      <c r="DB106"/>
      <c r="DC106"/>
      <c r="DD106"/>
      <c r="DE106"/>
      <c r="DF106"/>
      <c r="DG106"/>
      <c r="DH106"/>
      <c r="DI106"/>
      <c r="DJ106"/>
      <c r="DK106"/>
      <c r="DL106"/>
      <c r="DM106"/>
      <c r="DN106"/>
      <c r="DO106"/>
      <c r="DP106"/>
      <c r="DQ106"/>
      <c r="DR106"/>
      <c r="DS106"/>
      <c r="DT106"/>
      <c r="DU106"/>
      <c r="DV106"/>
      <c r="DW106"/>
      <c r="DX106"/>
      <c r="DY106"/>
      <c r="DZ106"/>
      <c r="EA106"/>
      <c r="EB106"/>
      <c r="EC106"/>
      <c r="ED106"/>
      <c r="EE106"/>
      <c r="EF106"/>
      <c r="EG106"/>
      <c r="EH106"/>
      <c r="EI106"/>
      <c r="EJ106"/>
      <c r="EK106"/>
      <c r="EL106"/>
      <c r="EM106"/>
      <c r="EN106"/>
      <c r="EO106"/>
      <c r="EP106"/>
      <c r="EQ106"/>
      <c r="ER106"/>
      <c r="ES106"/>
      <c r="ET106"/>
      <c r="EU106"/>
      <c r="EV106"/>
      <c r="EW106"/>
      <c r="EX106"/>
      <c r="EY106"/>
      <c r="EZ106"/>
      <c r="FA106"/>
      <c r="FB106"/>
      <c r="FC106"/>
      <c r="FD106"/>
      <c r="FE106"/>
      <c r="FF106"/>
      <c r="FG106"/>
      <c r="FH106"/>
      <c r="FI106"/>
      <c r="FJ106"/>
      <c r="FK106"/>
      <c r="FL106"/>
      <c r="FM106"/>
      <c r="FN106"/>
      <c r="FO106"/>
      <c r="FP106"/>
      <c r="FQ106"/>
      <c r="FR106"/>
      <c r="FS106"/>
      <c r="FT106"/>
      <c r="FU106"/>
      <c r="FV106"/>
      <c r="FW106"/>
      <c r="FX106"/>
      <c r="FY106"/>
      <c r="FZ106"/>
      <c r="GA106"/>
      <c r="GB106"/>
      <c r="GC106"/>
      <c r="GD106"/>
      <c r="GE106"/>
      <c r="GF106"/>
      <c r="GG106"/>
      <c r="GH106"/>
      <c r="GI106"/>
      <c r="GJ106"/>
      <c r="GK106"/>
      <c r="GL106"/>
      <c r="GM106"/>
      <c r="GN106"/>
      <c r="GO106"/>
      <c r="GP106"/>
      <c r="GQ106"/>
      <c r="GR106"/>
      <c r="GS106"/>
      <c r="GT106"/>
      <c r="GU106"/>
      <c r="GV106"/>
      <c r="GW106"/>
      <c r="GX106"/>
      <c r="GY106"/>
      <c r="GZ106"/>
      <c r="HA106"/>
      <c r="HB106"/>
      <c r="HC106"/>
      <c r="HD106"/>
      <c r="HE106"/>
      <c r="HF106"/>
      <c r="HG106"/>
      <c r="HH106"/>
      <c r="HI106"/>
      <c r="HJ106"/>
      <c r="HK106"/>
      <c r="HL106"/>
      <c r="HM106"/>
      <c r="HN106"/>
      <c r="HO106"/>
      <c r="HP106"/>
      <c r="HQ106"/>
      <c r="HR106"/>
      <c r="HS106"/>
      <c r="HT106"/>
      <c r="HU106"/>
      <c r="HV106"/>
      <c r="HW106"/>
      <c r="HX106"/>
      <c r="HY106"/>
      <c r="HZ106"/>
      <c r="IA106"/>
      <c r="IB106"/>
      <c r="IC106"/>
      <c r="ID106"/>
      <c r="IE106"/>
      <c r="IF106"/>
      <c r="IG106"/>
      <c r="IH106"/>
      <c r="II106"/>
      <c r="IJ106"/>
      <c r="IK106"/>
      <c r="IL106"/>
      <c r="IM106"/>
      <c r="IN106"/>
      <c r="IO106"/>
      <c r="IP106"/>
      <c r="IQ106"/>
      <c r="IR106"/>
      <c r="IS106"/>
      <c r="IT106"/>
      <c r="IU106"/>
      <c r="IV106"/>
    </row>
    <row r="107" spans="1:256" s="7" customFormat="1">
      <c r="A107" t="s">
        <v>147</v>
      </c>
      <c r="B107" s="51">
        <v>44957</v>
      </c>
      <c r="C107" s="8">
        <v>215.88</v>
      </c>
      <c r="D107">
        <f>13.39+3.13+0.48</f>
        <v>17</v>
      </c>
      <c r="E107"/>
      <c r="F107"/>
      <c r="G107"/>
      <c r="H107"/>
      <c r="I107" s="9">
        <f t="shared" si="6"/>
        <v>232.88</v>
      </c>
      <c r="J107" s="9">
        <f t="shared" si="7"/>
        <v>46907.915164979102</v>
      </c>
      <c r="K107" s="15"/>
      <c r="L107" s="15"/>
      <c r="N107"/>
      <c r="O107"/>
      <c r="P107"/>
      <c r="Q107"/>
      <c r="R107"/>
      <c r="S107"/>
      <c r="T107"/>
      <c r="U107"/>
      <c r="V107"/>
      <c r="W107"/>
      <c r="X107"/>
      <c r="Y107"/>
      <c r="Z107"/>
      <c r="AA107"/>
      <c r="AB107"/>
      <c r="AC107"/>
      <c r="AD107"/>
      <c r="AE107"/>
      <c r="AF107"/>
      <c r="AG107"/>
      <c r="AH107"/>
      <c r="AI107"/>
      <c r="AJ107"/>
      <c r="AK107"/>
      <c r="AL107"/>
      <c r="AM107"/>
      <c r="AN107"/>
      <c r="AO107"/>
      <c r="AP107"/>
      <c r="AQ107"/>
      <c r="AR107"/>
      <c r="AS107"/>
      <c r="AT107"/>
      <c r="AU107"/>
      <c r="AV107"/>
      <c r="AW107"/>
      <c r="AX107"/>
      <c r="AY107"/>
      <c r="AZ107"/>
      <c r="BA107"/>
      <c r="BB107"/>
      <c r="BC107"/>
      <c r="BD107"/>
      <c r="BE107"/>
      <c r="BF107"/>
      <c r="BG107"/>
      <c r="BH107"/>
      <c r="BI107"/>
      <c r="BJ107"/>
      <c r="BK107"/>
      <c r="BL107"/>
      <c r="BM107"/>
      <c r="BN107"/>
      <c r="BO107"/>
      <c r="BP107"/>
      <c r="BQ107"/>
      <c r="BR107"/>
      <c r="BS107"/>
      <c r="BT107"/>
      <c r="BU107"/>
      <c r="BV107"/>
      <c r="BW107"/>
      <c r="BX107"/>
      <c r="BY107"/>
      <c r="BZ107"/>
      <c r="CA107"/>
      <c r="CB107"/>
      <c r="CC107"/>
      <c r="CD107"/>
      <c r="CE107"/>
      <c r="CF107"/>
      <c r="CG107"/>
      <c r="CH107"/>
      <c r="CI107"/>
      <c r="CJ107"/>
      <c r="CK107"/>
      <c r="CL107"/>
      <c r="CM107"/>
      <c r="CN107"/>
      <c r="CO107"/>
      <c r="CP107"/>
      <c r="CQ107"/>
      <c r="CR107"/>
      <c r="CS107"/>
      <c r="CT107"/>
      <c r="CU107"/>
      <c r="CV107"/>
      <c r="CW107"/>
      <c r="CX107"/>
      <c r="CY107"/>
      <c r="CZ107"/>
      <c r="DA107"/>
      <c r="DB107"/>
      <c r="DC107"/>
      <c r="DD107"/>
      <c r="DE107"/>
      <c r="DF107"/>
      <c r="DG107"/>
      <c r="DH107"/>
      <c r="DI107"/>
      <c r="DJ107"/>
      <c r="DK107"/>
      <c r="DL107"/>
      <c r="DM107"/>
      <c r="DN107"/>
      <c r="DO107"/>
      <c r="DP107"/>
      <c r="DQ107"/>
      <c r="DR107"/>
      <c r="DS107"/>
      <c r="DT107"/>
      <c r="DU107"/>
      <c r="DV107"/>
      <c r="DW107"/>
      <c r="DX107"/>
      <c r="DY107"/>
      <c r="DZ107"/>
      <c r="EA107"/>
      <c r="EB107"/>
      <c r="EC107"/>
      <c r="ED107"/>
      <c r="EE107"/>
      <c r="EF107"/>
      <c r="EG107"/>
      <c r="EH107"/>
      <c r="EI107"/>
      <c r="EJ107"/>
      <c r="EK107"/>
      <c r="EL107"/>
      <c r="EM107"/>
      <c r="EN107"/>
      <c r="EO107"/>
      <c r="EP107"/>
      <c r="EQ107"/>
      <c r="ER107"/>
      <c r="ES107"/>
      <c r="ET107"/>
      <c r="EU107"/>
      <c r="EV107"/>
      <c r="EW107"/>
      <c r="EX107"/>
      <c r="EY107"/>
      <c r="EZ107"/>
      <c r="FA107"/>
      <c r="FB107"/>
      <c r="FC107"/>
      <c r="FD107"/>
      <c r="FE107"/>
      <c r="FF107"/>
      <c r="FG107"/>
      <c r="FH107"/>
      <c r="FI107"/>
      <c r="FJ107"/>
      <c r="FK107"/>
      <c r="FL107"/>
      <c r="FM107"/>
      <c r="FN107"/>
      <c r="FO107"/>
      <c r="FP107"/>
      <c r="FQ107"/>
      <c r="FR107"/>
      <c r="FS107"/>
      <c r="FT107"/>
      <c r="FU107"/>
      <c r="FV107"/>
      <c r="FW107"/>
      <c r="FX107"/>
      <c r="FY107"/>
      <c r="FZ107"/>
      <c r="GA107"/>
      <c r="GB107"/>
      <c r="GC107"/>
      <c r="GD107"/>
      <c r="GE107"/>
      <c r="GF107"/>
      <c r="GG107"/>
      <c r="GH107"/>
      <c r="GI107"/>
      <c r="GJ107"/>
      <c r="GK107"/>
      <c r="GL107"/>
      <c r="GM107"/>
      <c r="GN107"/>
      <c r="GO107"/>
      <c r="GP107"/>
      <c r="GQ107"/>
      <c r="GR107"/>
      <c r="GS107"/>
      <c r="GT107"/>
      <c r="GU107"/>
      <c r="GV107"/>
      <c r="GW107"/>
      <c r="GX107"/>
      <c r="GY107"/>
      <c r="GZ107"/>
      <c r="HA107"/>
      <c r="HB107"/>
      <c r="HC107"/>
      <c r="HD107"/>
      <c r="HE107"/>
      <c r="HF107"/>
      <c r="HG107"/>
      <c r="HH107"/>
      <c r="HI107"/>
      <c r="HJ107"/>
      <c r="HK107"/>
      <c r="HL107"/>
      <c r="HM107"/>
      <c r="HN107"/>
      <c r="HO107"/>
      <c r="HP107"/>
      <c r="HQ107"/>
      <c r="HR107"/>
      <c r="HS107"/>
      <c r="HT107"/>
      <c r="HU107"/>
      <c r="HV107"/>
      <c r="HW107"/>
      <c r="HX107"/>
      <c r="HY107"/>
      <c r="HZ107"/>
      <c r="IA107"/>
      <c r="IB107"/>
      <c r="IC107"/>
      <c r="ID107"/>
      <c r="IE107"/>
      <c r="IF107"/>
      <c r="IG107"/>
      <c r="IH107"/>
      <c r="II107"/>
      <c r="IJ107"/>
      <c r="IK107"/>
      <c r="IL107"/>
      <c r="IM107"/>
      <c r="IN107"/>
      <c r="IO107"/>
      <c r="IP107"/>
      <c r="IQ107"/>
      <c r="IR107"/>
      <c r="IS107"/>
      <c r="IT107"/>
      <c r="IU107"/>
      <c r="IV107"/>
    </row>
    <row r="108" spans="1:256" s="7" customFormat="1">
      <c r="A108" s="7" t="s">
        <v>148</v>
      </c>
      <c r="B108" s="51">
        <v>44957</v>
      </c>
      <c r="C108" s="8">
        <v>924</v>
      </c>
      <c r="D108" s="7">
        <f>57.29+13.4+2.03</f>
        <v>72.72</v>
      </c>
      <c r="E108"/>
      <c r="F108"/>
      <c r="G108"/>
      <c r="H108"/>
      <c r="I108" s="9">
        <f t="shared" si="6"/>
        <v>996.72</v>
      </c>
      <c r="J108" s="9">
        <f t="shared" si="7"/>
        <v>45911.195164979101</v>
      </c>
      <c r="K108" s="15"/>
      <c r="L108" s="15"/>
      <c r="M108"/>
      <c r="N108"/>
      <c r="O108"/>
      <c r="P108"/>
      <c r="Q108"/>
      <c r="R108"/>
      <c r="S108"/>
      <c r="T108"/>
      <c r="U108"/>
      <c r="V108"/>
      <c r="W108"/>
      <c r="X108"/>
      <c r="Y108"/>
      <c r="Z108"/>
      <c r="AA108"/>
      <c r="AB108"/>
      <c r="AC108"/>
      <c r="AD108"/>
      <c r="AE108"/>
      <c r="AF108"/>
      <c r="AG108"/>
      <c r="AH108"/>
      <c r="AI108"/>
      <c r="AJ108"/>
      <c r="AK108"/>
      <c r="AL108"/>
      <c r="AM108"/>
      <c r="AN108"/>
      <c r="AO108"/>
      <c r="AP108"/>
      <c r="AQ108"/>
      <c r="AR108"/>
      <c r="AS108"/>
      <c r="AT108"/>
      <c r="AU108"/>
      <c r="AV108"/>
      <c r="AW108"/>
      <c r="AX108"/>
      <c r="AY108"/>
      <c r="AZ108"/>
      <c r="BA108"/>
      <c r="BB108"/>
      <c r="BC108"/>
      <c r="BD108"/>
      <c r="BE108"/>
      <c r="BF108"/>
      <c r="BG108"/>
      <c r="BH108"/>
      <c r="BI108"/>
      <c r="BJ108"/>
      <c r="BK108"/>
      <c r="BL108"/>
      <c r="BM108"/>
      <c r="BN108"/>
      <c r="BO108"/>
      <c r="BP108"/>
      <c r="BQ108"/>
      <c r="BR108"/>
      <c r="BS108"/>
      <c r="BT108"/>
      <c r="BU108"/>
      <c r="BV108"/>
      <c r="BW108"/>
      <c r="BX108"/>
      <c r="BY108"/>
      <c r="BZ108"/>
      <c r="CA108"/>
      <c r="CB108"/>
      <c r="CC108"/>
      <c r="CD108"/>
      <c r="CE108"/>
      <c r="CF108"/>
      <c r="CG108"/>
      <c r="CH108"/>
      <c r="CI108"/>
      <c r="CJ108"/>
      <c r="CK108"/>
      <c r="CL108"/>
      <c r="CM108"/>
      <c r="CN108"/>
      <c r="CO108"/>
      <c r="CP108"/>
      <c r="CQ108"/>
      <c r="CR108"/>
      <c r="CS108"/>
      <c r="CT108"/>
      <c r="CU108"/>
      <c r="CV108"/>
      <c r="CW108"/>
      <c r="CX108"/>
      <c r="CY108"/>
      <c r="CZ108"/>
      <c r="DA108"/>
      <c r="DB108"/>
      <c r="DC108"/>
      <c r="DD108"/>
      <c r="DE108"/>
      <c r="DF108"/>
      <c r="DG108"/>
      <c r="DH108"/>
      <c r="DI108"/>
      <c r="DJ108"/>
      <c r="DK108"/>
      <c r="DL108"/>
      <c r="DM108"/>
      <c r="DN108"/>
      <c r="DO108"/>
      <c r="DP108"/>
      <c r="DQ108"/>
      <c r="DR108"/>
      <c r="DS108"/>
      <c r="DT108"/>
      <c r="DU108"/>
      <c r="DV108"/>
      <c r="DW108"/>
      <c r="DX108"/>
      <c r="DY108"/>
      <c r="DZ108"/>
      <c r="EA108"/>
      <c r="EB108"/>
      <c r="EC108"/>
      <c r="ED108"/>
      <c r="EE108"/>
      <c r="EF108"/>
      <c r="EG108"/>
      <c r="EH108"/>
      <c r="EI108"/>
      <c r="EJ108"/>
      <c r="EK108"/>
      <c r="EL108"/>
      <c r="EM108"/>
      <c r="EN108"/>
      <c r="EO108"/>
      <c r="EP108"/>
      <c r="EQ108"/>
      <c r="ER108"/>
      <c r="ES108"/>
      <c r="ET108"/>
      <c r="EU108"/>
      <c r="EV108"/>
      <c r="EW108"/>
      <c r="EX108"/>
      <c r="EY108"/>
      <c r="EZ108"/>
      <c r="FA108"/>
      <c r="FB108"/>
      <c r="FC108"/>
      <c r="FD108"/>
      <c r="FE108"/>
      <c r="FF108"/>
      <c r="FG108"/>
      <c r="FH108"/>
      <c r="FI108"/>
      <c r="FJ108"/>
      <c r="FK108"/>
      <c r="FL108"/>
      <c r="FM108"/>
      <c r="FN108"/>
      <c r="FO108"/>
      <c r="FP108"/>
      <c r="FQ108"/>
      <c r="FR108"/>
      <c r="FS108"/>
      <c r="FT108"/>
      <c r="FU108"/>
      <c r="FV108"/>
      <c r="FW108"/>
      <c r="FX108"/>
      <c r="FY108"/>
      <c r="FZ108"/>
      <c r="GA108"/>
      <c r="GB108"/>
      <c r="GC108"/>
      <c r="GD108"/>
      <c r="GE108"/>
      <c r="GF108"/>
      <c r="GG108"/>
      <c r="GH108"/>
      <c r="GI108"/>
      <c r="GJ108"/>
      <c r="GK108"/>
      <c r="GL108"/>
      <c r="GM108"/>
      <c r="GN108"/>
      <c r="GO108"/>
      <c r="GP108"/>
      <c r="GQ108"/>
      <c r="GR108"/>
      <c r="GS108"/>
      <c r="GT108"/>
      <c r="GU108"/>
      <c r="GV108"/>
      <c r="GW108"/>
      <c r="GX108"/>
      <c r="GY108"/>
      <c r="GZ108"/>
      <c r="HA108"/>
      <c r="HB108"/>
      <c r="HC108"/>
      <c r="HD108"/>
      <c r="HE108"/>
      <c r="HF108"/>
      <c r="HG108"/>
      <c r="HH108"/>
      <c r="HI108"/>
      <c r="HJ108"/>
      <c r="HK108"/>
      <c r="HL108"/>
      <c r="HM108"/>
      <c r="HN108"/>
      <c r="HO108"/>
      <c r="HP108"/>
      <c r="HQ108"/>
      <c r="HR108"/>
      <c r="HS108"/>
      <c r="HT108"/>
      <c r="HU108"/>
      <c r="HV108"/>
      <c r="HW108"/>
      <c r="HX108"/>
      <c r="HY108"/>
      <c r="HZ108"/>
      <c r="IA108"/>
      <c r="IB108"/>
      <c r="IC108"/>
      <c r="ID108"/>
      <c r="IE108"/>
      <c r="IF108"/>
      <c r="IG108"/>
      <c r="IH108"/>
      <c r="II108"/>
      <c r="IJ108"/>
      <c r="IK108"/>
      <c r="IL108"/>
      <c r="IM108"/>
      <c r="IN108"/>
      <c r="IO108"/>
      <c r="IP108"/>
      <c r="IQ108"/>
      <c r="IR108"/>
      <c r="IS108"/>
      <c r="IT108"/>
      <c r="IU108"/>
      <c r="IV108"/>
    </row>
    <row r="109" spans="1:256" s="7" customFormat="1">
      <c r="A109" t="s">
        <v>149</v>
      </c>
      <c r="B109" s="51">
        <v>44957</v>
      </c>
      <c r="C109" s="8">
        <v>784</v>
      </c>
      <c r="D109">
        <f>48.61+11.37+1.72</f>
        <v>61.699999999999996</v>
      </c>
      <c r="E109"/>
      <c r="F109"/>
      <c r="G109"/>
      <c r="H109"/>
      <c r="I109" s="9">
        <f t="shared" si="6"/>
        <v>845.7</v>
      </c>
      <c r="J109" s="9">
        <f t="shared" si="7"/>
        <v>45065.495164979104</v>
      </c>
      <c r="K109" s="15"/>
      <c r="L109" s="15"/>
      <c r="M109"/>
      <c r="N109"/>
      <c r="O109"/>
      <c r="P109"/>
      <c r="Q109"/>
      <c r="R109"/>
      <c r="S109"/>
      <c r="T109"/>
      <c r="U109"/>
      <c r="V109"/>
      <c r="W109"/>
      <c r="X109"/>
      <c r="Y109"/>
      <c r="Z109"/>
      <c r="AA109"/>
      <c r="AB109"/>
      <c r="AC109"/>
      <c r="AD109"/>
      <c r="AE109"/>
      <c r="AF109"/>
      <c r="AG109"/>
      <c r="AH109"/>
      <c r="AI109"/>
      <c r="AJ109"/>
      <c r="AK109"/>
      <c r="AL109"/>
      <c r="AM109"/>
      <c r="AN109"/>
      <c r="AO109"/>
      <c r="AP109"/>
      <c r="AQ109"/>
      <c r="AR109"/>
      <c r="AS109"/>
      <c r="AT109"/>
      <c r="AU109"/>
      <c r="AV109"/>
      <c r="AW109"/>
      <c r="AX109"/>
      <c r="AY109"/>
      <c r="AZ109"/>
      <c r="BA109"/>
      <c r="BB109"/>
      <c r="BC109"/>
      <c r="BD109"/>
      <c r="BE109"/>
      <c r="BF109"/>
      <c r="BG109"/>
      <c r="BH109"/>
      <c r="BI109"/>
      <c r="BJ109"/>
      <c r="BK109"/>
      <c r="BL109"/>
      <c r="BM109"/>
      <c r="BN109"/>
      <c r="BO109"/>
      <c r="BP109"/>
      <c r="BQ109"/>
      <c r="BR109"/>
      <c r="BS109"/>
      <c r="BT109"/>
      <c r="BU109"/>
      <c r="BV109"/>
      <c r="BW109"/>
      <c r="BX109"/>
      <c r="BY109"/>
      <c r="BZ109"/>
      <c r="CA109"/>
      <c r="CB109"/>
      <c r="CC109"/>
      <c r="CD109"/>
      <c r="CE109"/>
      <c r="CF109"/>
      <c r="CG109"/>
      <c r="CH109"/>
      <c r="CI109"/>
      <c r="CJ109"/>
      <c r="CK109"/>
      <c r="CL109"/>
      <c r="CM109"/>
      <c r="CN109"/>
      <c r="CO109"/>
      <c r="CP109"/>
      <c r="CQ109"/>
      <c r="CR109"/>
      <c r="CS109"/>
      <c r="CT109"/>
      <c r="CU109"/>
      <c r="CV109"/>
      <c r="CW109"/>
      <c r="CX109"/>
      <c r="CY109"/>
      <c r="CZ109"/>
      <c r="DA109"/>
      <c r="DB109"/>
      <c r="DC109"/>
      <c r="DD109"/>
      <c r="DE109"/>
      <c r="DF109"/>
      <c r="DG109"/>
      <c r="DH109"/>
      <c r="DI109"/>
      <c r="DJ109"/>
      <c r="DK109"/>
      <c r="DL109"/>
      <c r="DM109"/>
      <c r="DN109"/>
      <c r="DO109"/>
      <c r="DP109"/>
      <c r="DQ109"/>
      <c r="DR109"/>
      <c r="DS109"/>
      <c r="DT109"/>
      <c r="DU109"/>
      <c r="DV109"/>
      <c r="DW109"/>
      <c r="DX109"/>
      <c r="DY109"/>
      <c r="DZ109"/>
      <c r="EA109"/>
      <c r="EB109"/>
      <c r="EC109"/>
      <c r="ED109"/>
      <c r="EE109"/>
      <c r="EF109"/>
      <c r="EG109"/>
      <c r="EH109"/>
      <c r="EI109"/>
      <c r="EJ109"/>
      <c r="EK109"/>
      <c r="EL109"/>
      <c r="EM109"/>
      <c r="EN109"/>
      <c r="EO109"/>
      <c r="EP109"/>
      <c r="EQ109"/>
      <c r="ER109"/>
      <c r="ES109"/>
      <c r="ET109"/>
      <c r="EU109"/>
      <c r="EV109"/>
      <c r="EW109"/>
      <c r="EX109"/>
      <c r="EY109"/>
      <c r="EZ109"/>
      <c r="FA109"/>
      <c r="FB109"/>
      <c r="FC109"/>
      <c r="FD109"/>
      <c r="FE109"/>
      <c r="FF109"/>
      <c r="FG109"/>
      <c r="FH109"/>
      <c r="FI109"/>
      <c r="FJ109"/>
      <c r="FK109"/>
      <c r="FL109"/>
      <c r="FM109"/>
      <c r="FN109"/>
      <c r="FO109"/>
      <c r="FP109"/>
      <c r="FQ109"/>
      <c r="FR109"/>
      <c r="FS109"/>
      <c r="FT109"/>
      <c r="FU109"/>
      <c r="FV109"/>
      <c r="FW109"/>
      <c r="FX109"/>
      <c r="FY109"/>
      <c r="FZ109"/>
      <c r="GA109"/>
      <c r="GB109"/>
      <c r="GC109"/>
      <c r="GD109"/>
      <c r="GE109"/>
      <c r="GF109"/>
      <c r="GG109"/>
      <c r="GH109"/>
      <c r="GI109"/>
      <c r="GJ109"/>
      <c r="GK109"/>
      <c r="GL109"/>
      <c r="GM109"/>
      <c r="GN109"/>
      <c r="GO109"/>
      <c r="GP109"/>
      <c r="GQ109"/>
      <c r="GR109"/>
      <c r="GS109"/>
      <c r="GT109"/>
      <c r="GU109"/>
      <c r="GV109"/>
      <c r="GW109"/>
      <c r="GX109"/>
      <c r="GY109"/>
      <c r="GZ109"/>
      <c r="HA109"/>
      <c r="HB109"/>
      <c r="HC109"/>
      <c r="HD109"/>
      <c r="HE109"/>
      <c r="HF109"/>
      <c r="HG109"/>
      <c r="HH109"/>
      <c r="HI109"/>
      <c r="HJ109"/>
      <c r="HK109"/>
      <c r="HL109"/>
      <c r="HM109"/>
      <c r="HN109"/>
      <c r="HO109"/>
      <c r="HP109"/>
      <c r="HQ109"/>
      <c r="HR109"/>
      <c r="HS109"/>
      <c r="HT109"/>
      <c r="HU109"/>
      <c r="HV109"/>
      <c r="HW109"/>
      <c r="HX109"/>
      <c r="HY109"/>
      <c r="HZ109"/>
      <c r="IA109"/>
      <c r="IB109"/>
      <c r="IC109"/>
      <c r="ID109"/>
      <c r="IE109"/>
      <c r="IF109"/>
      <c r="IG109"/>
      <c r="IH109"/>
      <c r="II109"/>
      <c r="IJ109"/>
      <c r="IK109"/>
      <c r="IL109"/>
      <c r="IM109"/>
      <c r="IN109"/>
      <c r="IO109"/>
      <c r="IP109"/>
      <c r="IQ109"/>
      <c r="IR109"/>
      <c r="IS109"/>
      <c r="IT109"/>
      <c r="IU109"/>
      <c r="IV109"/>
    </row>
    <row r="110" spans="1:256" s="7" customFormat="1">
      <c r="A110" s="7" t="s">
        <v>150</v>
      </c>
      <c r="B110" s="51">
        <v>44957</v>
      </c>
      <c r="C110" s="8">
        <v>448</v>
      </c>
      <c r="D110">
        <f>27.78+6.5+0.99</f>
        <v>35.270000000000003</v>
      </c>
      <c r="E110"/>
      <c r="F110"/>
      <c r="G110"/>
      <c r="H110"/>
      <c r="I110" s="9">
        <f t="shared" si="6"/>
        <v>483.27</v>
      </c>
      <c r="J110" s="9">
        <f t="shared" si="7"/>
        <v>44582.225164979107</v>
      </c>
      <c r="K110" s="15">
        <f>SUM(I106:I110)</f>
        <v>2835.7999999999997</v>
      </c>
      <c r="L110" s="15">
        <f>44582.23</f>
        <v>44582.23</v>
      </c>
      <c r="M110" s="16" t="s">
        <v>151</v>
      </c>
      <c r="N110"/>
      <c r="O110"/>
      <c r="P110"/>
      <c r="Q110"/>
      <c r="R110"/>
      <c r="S110"/>
      <c r="T110"/>
      <c r="U110"/>
      <c r="V110"/>
      <c r="W110"/>
      <c r="X110"/>
      <c r="Y110"/>
      <c r="Z110"/>
      <c r="AA110"/>
      <c r="AB110"/>
      <c r="AC110"/>
      <c r="AD110"/>
      <c r="AE110"/>
      <c r="AF110"/>
      <c r="AG110"/>
      <c r="AH110"/>
      <c r="AI110"/>
      <c r="AJ110"/>
      <c r="AK110"/>
      <c r="AL110"/>
      <c r="AM110"/>
      <c r="AN110"/>
      <c r="AO110"/>
      <c r="AP110"/>
      <c r="AQ110"/>
      <c r="AR110"/>
      <c r="AS110"/>
      <c r="AT110"/>
      <c r="AU110"/>
      <c r="AV110"/>
      <c r="AW110"/>
      <c r="AX110"/>
      <c r="AY110"/>
      <c r="AZ110"/>
      <c r="BA110"/>
      <c r="BB110"/>
      <c r="BC110"/>
      <c r="BD110"/>
      <c r="BE110"/>
      <c r="BF110"/>
      <c r="BG110"/>
      <c r="BH110"/>
      <c r="BI110"/>
      <c r="BJ110"/>
      <c r="BK110"/>
      <c r="BL110"/>
      <c r="BM110"/>
      <c r="BN110"/>
      <c r="BO110"/>
      <c r="BP110"/>
      <c r="BQ110"/>
      <c r="BR110"/>
      <c r="BS110"/>
      <c r="BT110"/>
      <c r="BU110"/>
      <c r="BV110"/>
      <c r="BW110"/>
      <c r="BX110"/>
      <c r="BY110"/>
      <c r="BZ110"/>
      <c r="CA110"/>
      <c r="CB110"/>
      <c r="CC110"/>
      <c r="CD110"/>
      <c r="CE110"/>
      <c r="CF110"/>
      <c r="CG110"/>
      <c r="CH110"/>
      <c r="CI110"/>
      <c r="CJ110"/>
      <c r="CK110"/>
      <c r="CL110"/>
      <c r="CM110"/>
      <c r="CN110"/>
      <c r="CO110"/>
      <c r="CP110"/>
      <c r="CQ110"/>
      <c r="CR110"/>
      <c r="CS110"/>
      <c r="CT110"/>
      <c r="CU110"/>
      <c r="CV110"/>
      <c r="CW110"/>
      <c r="CX110"/>
      <c r="CY110"/>
      <c r="CZ110"/>
      <c r="DA110"/>
      <c r="DB110"/>
      <c r="DC110"/>
      <c r="DD110"/>
      <c r="DE110"/>
      <c r="DF110"/>
      <c r="DG110"/>
      <c r="DH110"/>
      <c r="DI110"/>
      <c r="DJ110"/>
      <c r="DK110"/>
      <c r="DL110"/>
      <c r="DM110"/>
      <c r="DN110"/>
      <c r="DO110"/>
      <c r="DP110"/>
      <c r="DQ110"/>
      <c r="DR110"/>
      <c r="DS110"/>
      <c r="DT110"/>
      <c r="DU110"/>
      <c r="DV110"/>
      <c r="DW110"/>
      <c r="DX110"/>
      <c r="DY110"/>
      <c r="DZ110"/>
      <c r="EA110"/>
      <c r="EB110"/>
      <c r="EC110"/>
      <c r="ED110"/>
      <c r="EE110"/>
      <c r="EF110"/>
      <c r="EG110"/>
      <c r="EH110"/>
      <c r="EI110"/>
      <c r="EJ110"/>
      <c r="EK110"/>
      <c r="EL110"/>
      <c r="EM110"/>
      <c r="EN110"/>
      <c r="EO110"/>
      <c r="EP110"/>
      <c r="EQ110"/>
      <c r="ER110"/>
      <c r="ES110"/>
      <c r="ET110"/>
      <c r="EU110"/>
      <c r="EV110"/>
      <c r="EW110"/>
      <c r="EX110"/>
      <c r="EY110"/>
      <c r="EZ110"/>
      <c r="FA110"/>
      <c r="FB110"/>
      <c r="FC110"/>
      <c r="FD110"/>
      <c r="FE110"/>
      <c r="FF110"/>
      <c r="FG110"/>
      <c r="FH110"/>
      <c r="FI110"/>
      <c r="FJ110"/>
      <c r="FK110"/>
      <c r="FL110"/>
      <c r="FM110"/>
      <c r="FN110"/>
      <c r="FO110"/>
      <c r="FP110"/>
      <c r="FQ110"/>
      <c r="FR110"/>
      <c r="FS110"/>
      <c r="FT110"/>
      <c r="FU110"/>
      <c r="FV110"/>
      <c r="FW110"/>
      <c r="FX110"/>
      <c r="FY110"/>
      <c r="FZ110"/>
      <c r="GA110"/>
      <c r="GB110"/>
      <c r="GC110"/>
      <c r="GD110"/>
      <c r="GE110"/>
      <c r="GF110"/>
      <c r="GG110"/>
      <c r="GH110"/>
      <c r="GI110"/>
      <c r="GJ110"/>
      <c r="GK110"/>
      <c r="GL110"/>
      <c r="GM110"/>
      <c r="GN110"/>
      <c r="GO110"/>
      <c r="GP110"/>
      <c r="GQ110"/>
      <c r="GR110"/>
      <c r="GS110"/>
      <c r="GT110"/>
      <c r="GU110"/>
      <c r="GV110"/>
      <c r="GW110"/>
      <c r="GX110"/>
      <c r="GY110"/>
      <c r="GZ110"/>
      <c r="HA110"/>
      <c r="HB110"/>
      <c r="HC110"/>
      <c r="HD110"/>
      <c r="HE110"/>
      <c r="HF110"/>
      <c r="HG110"/>
      <c r="HH110"/>
      <c r="HI110"/>
      <c r="HJ110"/>
      <c r="HK110"/>
      <c r="HL110"/>
      <c r="HM110"/>
      <c r="HN110"/>
      <c r="HO110"/>
      <c r="HP110"/>
      <c r="HQ110"/>
      <c r="HR110"/>
      <c r="HS110"/>
      <c r="HT110"/>
      <c r="HU110"/>
      <c r="HV110"/>
      <c r="HW110"/>
      <c r="HX110"/>
      <c r="HY110"/>
      <c r="HZ110"/>
      <c r="IA110"/>
      <c r="IB110"/>
      <c r="IC110"/>
      <c r="ID110"/>
      <c r="IE110"/>
      <c r="IF110"/>
      <c r="IG110"/>
      <c r="IH110"/>
      <c r="II110"/>
      <c r="IJ110"/>
      <c r="IK110"/>
      <c r="IL110"/>
      <c r="IM110"/>
      <c r="IN110"/>
      <c r="IO110"/>
      <c r="IP110"/>
      <c r="IQ110"/>
      <c r="IR110"/>
      <c r="IS110"/>
      <c r="IT110"/>
      <c r="IU110"/>
      <c r="IV110"/>
    </row>
    <row r="111" spans="1:256" s="7" customFormat="1">
      <c r="A111" t="s">
        <v>152</v>
      </c>
      <c r="B111" s="51">
        <v>44985</v>
      </c>
      <c r="C111" s="8">
        <v>868</v>
      </c>
      <c r="D111">
        <f>53.82+12.59+1.9</f>
        <v>68.31</v>
      </c>
      <c r="E111"/>
      <c r="F111"/>
      <c r="G111"/>
      <c r="H111"/>
      <c r="I111" s="9">
        <f t="shared" si="6"/>
        <v>936.31</v>
      </c>
      <c r="J111" s="9">
        <f t="shared" si="7"/>
        <v>43645.915164979109</v>
      </c>
      <c r="K111" s="15"/>
      <c r="L111" s="15"/>
      <c r="M111"/>
      <c r="N111"/>
      <c r="O111"/>
      <c r="P111"/>
      <c r="Q111"/>
      <c r="R111"/>
      <c r="S111"/>
      <c r="T111"/>
      <c r="U111"/>
      <c r="V111"/>
      <c r="W111"/>
      <c r="X111"/>
      <c r="Y111"/>
      <c r="Z111"/>
      <c r="AA111"/>
      <c r="AB111"/>
      <c r="AC111"/>
      <c r="AD111"/>
      <c r="AE111"/>
      <c r="AF111"/>
      <c r="AG111"/>
      <c r="AH111"/>
      <c r="AI111"/>
      <c r="AJ111"/>
      <c r="AK111"/>
      <c r="AL111"/>
      <c r="AM111"/>
      <c r="AN111"/>
      <c r="AO111"/>
      <c r="AP111"/>
      <c r="AQ111"/>
      <c r="AR111"/>
      <c r="AS111"/>
      <c r="AT111"/>
      <c r="AU111"/>
      <c r="AV111"/>
      <c r="AW111"/>
      <c r="AX111"/>
      <c r="AY111"/>
      <c r="AZ111"/>
      <c r="BA111"/>
      <c r="BB111"/>
      <c r="BC111"/>
      <c r="BD111"/>
      <c r="BE111"/>
      <c r="BF111"/>
      <c r="BG111"/>
      <c r="BH111"/>
      <c r="BI111"/>
      <c r="BJ111"/>
      <c r="BK111"/>
      <c r="BL111"/>
      <c r="BM111"/>
      <c r="BN111"/>
      <c r="BO111"/>
      <c r="BP111"/>
      <c r="BQ111"/>
      <c r="BR111"/>
      <c r="BS111"/>
      <c r="BT111"/>
      <c r="BU111"/>
      <c r="BV111"/>
      <c r="BW111"/>
      <c r="BX111"/>
      <c r="BY111"/>
      <c r="BZ111"/>
      <c r="CA111"/>
      <c r="CB111"/>
      <c r="CC111"/>
      <c r="CD111"/>
      <c r="CE111"/>
      <c r="CF111"/>
      <c r="CG111"/>
      <c r="CH111"/>
      <c r="CI111"/>
      <c r="CJ111"/>
      <c r="CK111"/>
      <c r="CL111"/>
      <c r="CM111"/>
      <c r="CN111"/>
      <c r="CO111"/>
      <c r="CP111"/>
      <c r="CQ111"/>
      <c r="CR111"/>
      <c r="CS111"/>
      <c r="CT111"/>
      <c r="CU111"/>
      <c r="CV111"/>
      <c r="CW111"/>
      <c r="CX111"/>
      <c r="CY111"/>
      <c r="CZ111"/>
      <c r="DA111"/>
      <c r="DB111"/>
      <c r="DC111"/>
      <c r="DD111"/>
      <c r="DE111"/>
      <c r="DF111"/>
      <c r="DG111"/>
      <c r="DH111"/>
      <c r="DI111"/>
      <c r="DJ111"/>
      <c r="DK111"/>
      <c r="DL111"/>
      <c r="DM111"/>
      <c r="DN111"/>
      <c r="DO111"/>
      <c r="DP111"/>
      <c r="DQ111"/>
      <c r="DR111"/>
      <c r="DS111"/>
      <c r="DT111"/>
      <c r="DU111"/>
      <c r="DV111"/>
      <c r="DW111"/>
      <c r="DX111"/>
      <c r="DY111"/>
      <c r="DZ111"/>
      <c r="EA111"/>
      <c r="EB111"/>
      <c r="EC111"/>
      <c r="ED111"/>
      <c r="EE111"/>
      <c r="EF111"/>
      <c r="EG111"/>
      <c r="EH111"/>
      <c r="EI111"/>
      <c r="EJ111"/>
      <c r="EK111"/>
      <c r="EL111"/>
      <c r="EM111"/>
      <c r="EN111"/>
      <c r="EO111"/>
      <c r="EP111"/>
      <c r="EQ111"/>
      <c r="ER111"/>
      <c r="ES111"/>
      <c r="ET111"/>
      <c r="EU111"/>
      <c r="EV111"/>
      <c r="EW111"/>
      <c r="EX111"/>
      <c r="EY111"/>
      <c r="EZ111"/>
      <c r="FA111"/>
      <c r="FB111"/>
      <c r="FC111"/>
      <c r="FD111"/>
      <c r="FE111"/>
      <c r="FF111"/>
      <c r="FG111"/>
      <c r="FH111"/>
      <c r="FI111"/>
      <c r="FJ111"/>
      <c r="FK111"/>
      <c r="FL111"/>
      <c r="FM111"/>
      <c r="FN111"/>
      <c r="FO111"/>
      <c r="FP111"/>
      <c r="FQ111"/>
      <c r="FR111"/>
      <c r="FS111"/>
      <c r="FT111"/>
      <c r="FU111"/>
      <c r="FV111"/>
      <c r="FW111"/>
      <c r="FX111"/>
      <c r="FY111"/>
      <c r="FZ111"/>
      <c r="GA111"/>
      <c r="GB111"/>
      <c r="GC111"/>
      <c r="GD111"/>
      <c r="GE111"/>
      <c r="GF111"/>
      <c r="GG111"/>
      <c r="GH111"/>
      <c r="GI111"/>
      <c r="GJ111"/>
      <c r="GK111"/>
      <c r="GL111"/>
      <c r="GM111"/>
      <c r="GN111"/>
      <c r="GO111"/>
      <c r="GP111"/>
      <c r="GQ111"/>
      <c r="GR111"/>
      <c r="GS111"/>
      <c r="GT111"/>
      <c r="GU111"/>
      <c r="GV111"/>
      <c r="GW111"/>
      <c r="GX111"/>
      <c r="GY111"/>
      <c r="GZ111"/>
      <c r="HA111"/>
      <c r="HB111"/>
      <c r="HC111"/>
      <c r="HD111"/>
      <c r="HE111"/>
      <c r="HF111"/>
      <c r="HG111"/>
      <c r="HH111"/>
      <c r="HI111"/>
      <c r="HJ111"/>
      <c r="HK111"/>
      <c r="HL111"/>
      <c r="HM111"/>
      <c r="HN111"/>
      <c r="HO111"/>
      <c r="HP111"/>
      <c r="HQ111"/>
      <c r="HR111"/>
      <c r="HS111"/>
      <c r="HT111"/>
      <c r="HU111"/>
      <c r="HV111"/>
      <c r="HW111"/>
      <c r="HX111"/>
      <c r="HY111"/>
      <c r="HZ111"/>
      <c r="IA111"/>
      <c r="IB111"/>
      <c r="IC111"/>
      <c r="ID111"/>
      <c r="IE111"/>
      <c r="IF111"/>
      <c r="IG111"/>
      <c r="IH111"/>
      <c r="II111"/>
      <c r="IJ111"/>
      <c r="IK111"/>
      <c r="IL111"/>
      <c r="IM111"/>
      <c r="IN111"/>
      <c r="IO111"/>
      <c r="IP111"/>
      <c r="IQ111"/>
      <c r="IR111"/>
      <c r="IS111"/>
      <c r="IT111"/>
      <c r="IU111"/>
      <c r="IV111"/>
    </row>
    <row r="112" spans="1:256" s="7" customFormat="1">
      <c r="A112" t="s">
        <v>153</v>
      </c>
      <c r="B112" s="51">
        <v>44985</v>
      </c>
      <c r="C112" s="8">
        <v>980</v>
      </c>
      <c r="D112">
        <f>60.76+14.21+2.16</f>
        <v>77.13</v>
      </c>
      <c r="E112"/>
      <c r="F112"/>
      <c r="G112"/>
      <c r="H112"/>
      <c r="I112" s="9">
        <f t="shared" si="6"/>
        <v>1057.1300000000001</v>
      </c>
      <c r="J112" s="9">
        <f t="shared" si="7"/>
        <v>42588.785164979112</v>
      </c>
      <c r="K112" s="15">
        <f>SUM(I111:I112)</f>
        <v>1993.44</v>
      </c>
      <c r="L112" s="15">
        <f>42588.79</f>
        <v>42588.79</v>
      </c>
      <c r="M112" s="52" t="s">
        <v>154</v>
      </c>
      <c r="N112"/>
      <c r="O112"/>
      <c r="P112"/>
      <c r="Q112"/>
      <c r="R112"/>
      <c r="S112"/>
      <c r="T112"/>
      <c r="U112"/>
      <c r="V112"/>
      <c r="W112"/>
      <c r="X112"/>
      <c r="Y112"/>
      <c r="Z112"/>
      <c r="AA112"/>
      <c r="AB112"/>
      <c r="AC112"/>
      <c r="AD112"/>
      <c r="AE112"/>
      <c r="AF112"/>
      <c r="AG112"/>
      <c r="AH112"/>
      <c r="AI112"/>
      <c r="AJ112"/>
      <c r="AK112"/>
      <c r="AL112"/>
      <c r="AM112"/>
      <c r="AN112"/>
      <c r="AO112"/>
      <c r="AP112"/>
      <c r="AQ112"/>
      <c r="AR112"/>
      <c r="AS112"/>
      <c r="AT112"/>
      <c r="AU112"/>
      <c r="AV112"/>
      <c r="AW112"/>
      <c r="AX112"/>
      <c r="AY112"/>
      <c r="AZ112"/>
      <c r="BA112"/>
      <c r="BB112"/>
      <c r="BC112"/>
      <c r="BD112"/>
      <c r="BE112"/>
      <c r="BF112"/>
      <c r="BG112"/>
      <c r="BH112"/>
      <c r="BI112"/>
      <c r="BJ112"/>
      <c r="BK112"/>
      <c r="BL112"/>
      <c r="BM112"/>
      <c r="BN112"/>
      <c r="BO112"/>
      <c r="BP112"/>
      <c r="BQ112"/>
      <c r="BR112"/>
      <c r="BS112"/>
      <c r="BT112"/>
      <c r="BU112"/>
      <c r="BV112"/>
      <c r="BW112"/>
      <c r="BX112"/>
      <c r="BY112"/>
      <c r="BZ112"/>
      <c r="CA112"/>
      <c r="CB112"/>
      <c r="CC112"/>
      <c r="CD112"/>
      <c r="CE112"/>
      <c r="CF112"/>
      <c r="CG112"/>
      <c r="CH112"/>
      <c r="CI112"/>
      <c r="CJ112"/>
      <c r="CK112"/>
      <c r="CL112"/>
      <c r="CM112"/>
      <c r="CN112"/>
      <c r="CO112"/>
      <c r="CP112"/>
      <c r="CQ112"/>
      <c r="CR112"/>
      <c r="CS112"/>
      <c r="CT112"/>
      <c r="CU112"/>
      <c r="CV112"/>
      <c r="CW112"/>
      <c r="CX112"/>
      <c r="CY112"/>
      <c r="CZ112"/>
      <c r="DA112"/>
      <c r="DB112"/>
      <c r="DC112"/>
      <c r="DD112"/>
      <c r="DE112"/>
      <c r="DF112"/>
      <c r="DG112"/>
      <c r="DH112"/>
      <c r="DI112"/>
      <c r="DJ112"/>
      <c r="DK112"/>
      <c r="DL112"/>
      <c r="DM112"/>
      <c r="DN112"/>
      <c r="DO112"/>
      <c r="DP112"/>
      <c r="DQ112"/>
      <c r="DR112"/>
      <c r="DS112"/>
      <c r="DT112"/>
      <c r="DU112"/>
      <c r="DV112"/>
      <c r="DW112"/>
      <c r="DX112"/>
      <c r="DY112"/>
      <c r="DZ112"/>
      <c r="EA112"/>
      <c r="EB112"/>
      <c r="EC112"/>
      <c r="ED112"/>
      <c r="EE112"/>
      <c r="EF112"/>
      <c r="EG112"/>
      <c r="EH112"/>
      <c r="EI112"/>
      <c r="EJ112"/>
      <c r="EK112"/>
      <c r="EL112"/>
      <c r="EM112"/>
      <c r="EN112"/>
      <c r="EO112"/>
      <c r="EP112"/>
      <c r="EQ112"/>
      <c r="ER112"/>
      <c r="ES112"/>
      <c r="ET112"/>
      <c r="EU112"/>
      <c r="EV112"/>
      <c r="EW112"/>
      <c r="EX112"/>
      <c r="EY112"/>
      <c r="EZ112"/>
      <c r="FA112"/>
      <c r="FB112"/>
      <c r="FC112"/>
      <c r="FD112"/>
      <c r="FE112"/>
      <c r="FF112"/>
      <c r="FG112"/>
      <c r="FH112"/>
      <c r="FI112"/>
      <c r="FJ112"/>
      <c r="FK112"/>
      <c r="FL112"/>
      <c r="FM112"/>
      <c r="FN112"/>
      <c r="FO112"/>
      <c r="FP112"/>
      <c r="FQ112"/>
      <c r="FR112"/>
      <c r="FS112"/>
      <c r="FT112"/>
      <c r="FU112"/>
      <c r="FV112"/>
      <c r="FW112"/>
      <c r="FX112"/>
      <c r="FY112"/>
      <c r="FZ112"/>
      <c r="GA112"/>
      <c r="GB112"/>
      <c r="GC112"/>
      <c r="GD112"/>
      <c r="GE112"/>
      <c r="GF112"/>
      <c r="GG112"/>
      <c r="GH112"/>
      <c r="GI112"/>
      <c r="GJ112"/>
      <c r="GK112"/>
      <c r="GL112"/>
      <c r="GM112"/>
      <c r="GN112"/>
      <c r="GO112"/>
      <c r="GP112"/>
      <c r="GQ112"/>
      <c r="GR112"/>
      <c r="GS112"/>
      <c r="GT112"/>
      <c r="GU112"/>
      <c r="GV112"/>
      <c r="GW112"/>
      <c r="GX112"/>
      <c r="GY112"/>
      <c r="GZ112"/>
      <c r="HA112"/>
      <c r="HB112"/>
      <c r="HC112"/>
      <c r="HD112"/>
      <c r="HE112"/>
      <c r="HF112"/>
      <c r="HG112"/>
      <c r="HH112"/>
      <c r="HI112"/>
      <c r="HJ112"/>
      <c r="HK112"/>
      <c r="HL112"/>
      <c r="HM112"/>
      <c r="HN112"/>
      <c r="HO112"/>
      <c r="HP112"/>
      <c r="HQ112"/>
      <c r="HR112"/>
      <c r="HS112"/>
      <c r="HT112"/>
      <c r="HU112"/>
      <c r="HV112"/>
      <c r="HW112"/>
      <c r="HX112"/>
      <c r="HY112"/>
      <c r="HZ112"/>
      <c r="IA112"/>
      <c r="IB112"/>
      <c r="IC112"/>
      <c r="ID112"/>
      <c r="IE112"/>
      <c r="IF112"/>
      <c r="IG112"/>
      <c r="IH112"/>
      <c r="II112"/>
      <c r="IJ112"/>
      <c r="IK112"/>
      <c r="IL112"/>
      <c r="IM112"/>
      <c r="IN112"/>
      <c r="IO112"/>
      <c r="IP112"/>
      <c r="IQ112"/>
      <c r="IR112"/>
      <c r="IS112"/>
      <c r="IT112"/>
      <c r="IU112"/>
      <c r="IV112"/>
    </row>
    <row r="113" spans="1:256" s="7" customFormat="1">
      <c r="A113" t="s">
        <v>155</v>
      </c>
      <c r="B113" s="51">
        <v>45169</v>
      </c>
      <c r="C113" s="8">
        <v>651</v>
      </c>
      <c r="D113">
        <f>40.36+9.44+2.28</f>
        <v>52.08</v>
      </c>
      <c r="E113"/>
      <c r="F113"/>
      <c r="G113"/>
      <c r="H113"/>
      <c r="I113" s="9">
        <f t="shared" si="6"/>
        <v>703.08</v>
      </c>
      <c r="J113" s="9">
        <f t="shared" si="7"/>
        <v>41885.70516497911</v>
      </c>
      <c r="K113" s="15">
        <f>I113</f>
        <v>703.08</v>
      </c>
      <c r="L113" s="15">
        <f>41885.71-0</f>
        <v>41885.71</v>
      </c>
      <c r="M113" s="52" t="s">
        <v>156</v>
      </c>
      <c r="N113"/>
      <c r="O113"/>
      <c r="P113"/>
      <c r="Q113"/>
      <c r="R113"/>
      <c r="S113"/>
      <c r="T113"/>
      <c r="U113"/>
      <c r="V113"/>
      <c r="W113"/>
      <c r="X113"/>
      <c r="Y113"/>
      <c r="Z113"/>
      <c r="AA113"/>
      <c r="AB113"/>
      <c r="AC113"/>
      <c r="AD113"/>
      <c r="AE113"/>
      <c r="AF113"/>
      <c r="AG113"/>
      <c r="AH113"/>
      <c r="AI113"/>
      <c r="AJ113"/>
      <c r="AK113"/>
      <c r="AL113"/>
      <c r="AM113"/>
      <c r="AN113"/>
      <c r="AO113"/>
      <c r="AP113"/>
      <c r="AQ113"/>
      <c r="AR113"/>
      <c r="AS113"/>
      <c r="AT113"/>
      <c r="AU113"/>
      <c r="AV113"/>
      <c r="AW113"/>
      <c r="AX113"/>
      <c r="AY113"/>
      <c r="AZ113"/>
      <c r="BA113"/>
      <c r="BB113"/>
      <c r="BC113"/>
      <c r="BD113"/>
      <c r="BE113"/>
      <c r="BF113"/>
      <c r="BG113"/>
      <c r="BH113"/>
      <c r="BI113"/>
      <c r="BJ113"/>
      <c r="BK113"/>
      <c r="BL113"/>
      <c r="BM113"/>
      <c r="BN113"/>
      <c r="BO113"/>
      <c r="BP113"/>
      <c r="BQ113"/>
      <c r="BR113"/>
      <c r="BS113"/>
      <c r="BT113"/>
      <c r="BU113"/>
      <c r="BV113"/>
      <c r="BW113"/>
      <c r="BX113"/>
      <c r="BY113"/>
      <c r="BZ113"/>
      <c r="CA113"/>
      <c r="CB113"/>
      <c r="CC113"/>
      <c r="CD113"/>
      <c r="CE113"/>
      <c r="CF113"/>
      <c r="CG113"/>
      <c r="CH113"/>
      <c r="CI113"/>
      <c r="CJ113"/>
      <c r="CK113"/>
      <c r="CL113"/>
      <c r="CM113"/>
      <c r="CN113"/>
      <c r="CO113"/>
      <c r="CP113"/>
      <c r="CQ113"/>
      <c r="CR113"/>
      <c r="CS113"/>
      <c r="CT113"/>
      <c r="CU113"/>
      <c r="CV113"/>
      <c r="CW113"/>
      <c r="CX113"/>
      <c r="CY113"/>
      <c r="CZ113"/>
      <c r="DA113"/>
      <c r="DB113"/>
      <c r="DC113"/>
      <c r="DD113"/>
      <c r="DE113"/>
      <c r="DF113"/>
      <c r="DG113"/>
      <c r="DH113"/>
      <c r="DI113"/>
      <c r="DJ113"/>
      <c r="DK113"/>
      <c r="DL113"/>
      <c r="DM113"/>
      <c r="DN113"/>
      <c r="DO113"/>
      <c r="DP113"/>
      <c r="DQ113"/>
      <c r="DR113"/>
      <c r="DS113"/>
      <c r="DT113"/>
      <c r="DU113"/>
      <c r="DV113"/>
      <c r="DW113"/>
      <c r="DX113"/>
      <c r="DY113"/>
      <c r="DZ113"/>
      <c r="EA113"/>
      <c r="EB113"/>
      <c r="EC113"/>
      <c r="ED113"/>
      <c r="EE113"/>
      <c r="EF113"/>
      <c r="EG113"/>
      <c r="EH113"/>
      <c r="EI113"/>
      <c r="EJ113"/>
      <c r="EK113"/>
      <c r="EL113"/>
      <c r="EM113"/>
      <c r="EN113"/>
      <c r="EO113"/>
      <c r="EP113"/>
      <c r="EQ113"/>
      <c r="ER113"/>
      <c r="ES113"/>
      <c r="ET113"/>
      <c r="EU113"/>
      <c r="EV113"/>
      <c r="EW113"/>
      <c r="EX113"/>
      <c r="EY113"/>
      <c r="EZ113"/>
      <c r="FA113"/>
      <c r="FB113"/>
      <c r="FC113"/>
      <c r="FD113"/>
      <c r="FE113"/>
      <c r="FF113"/>
      <c r="FG113"/>
      <c r="FH113"/>
      <c r="FI113"/>
      <c r="FJ113"/>
      <c r="FK113"/>
      <c r="FL113"/>
      <c r="FM113"/>
      <c r="FN113"/>
      <c r="FO113"/>
      <c r="FP113"/>
      <c r="FQ113"/>
      <c r="FR113"/>
      <c r="FS113"/>
      <c r="FT113"/>
      <c r="FU113"/>
      <c r="FV113"/>
      <c r="FW113"/>
      <c r="FX113"/>
      <c r="FY113"/>
      <c r="FZ113"/>
      <c r="GA113"/>
      <c r="GB113"/>
      <c r="GC113"/>
      <c r="GD113"/>
      <c r="GE113"/>
      <c r="GF113"/>
      <c r="GG113"/>
      <c r="GH113"/>
      <c r="GI113"/>
      <c r="GJ113"/>
      <c r="GK113"/>
      <c r="GL113"/>
      <c r="GM113"/>
      <c r="GN113"/>
      <c r="GO113"/>
      <c r="GP113"/>
      <c r="GQ113"/>
      <c r="GR113"/>
      <c r="GS113"/>
      <c r="GT113"/>
      <c r="GU113"/>
      <c r="GV113"/>
      <c r="GW113"/>
      <c r="GX113"/>
      <c r="GY113"/>
      <c r="GZ113"/>
      <c r="HA113"/>
      <c r="HB113"/>
      <c r="HC113"/>
      <c r="HD113"/>
      <c r="HE113"/>
      <c r="HF113"/>
      <c r="HG113"/>
      <c r="HH113"/>
      <c r="HI113"/>
      <c r="HJ113"/>
      <c r="HK113"/>
      <c r="HL113"/>
      <c r="HM113"/>
      <c r="HN113"/>
      <c r="HO113"/>
      <c r="HP113"/>
      <c r="HQ113"/>
      <c r="HR113"/>
      <c r="HS113"/>
      <c r="HT113"/>
      <c r="HU113"/>
      <c r="HV113"/>
      <c r="HW113"/>
      <c r="HX113"/>
      <c r="HY113"/>
      <c r="HZ113"/>
      <c r="IA113"/>
      <c r="IB113"/>
      <c r="IC113"/>
      <c r="ID113"/>
      <c r="IE113"/>
      <c r="IF113"/>
      <c r="IG113"/>
      <c r="IH113"/>
      <c r="II113"/>
      <c r="IJ113"/>
      <c r="IK113"/>
      <c r="IL113"/>
      <c r="IM113"/>
      <c r="IN113"/>
      <c r="IO113"/>
      <c r="IP113"/>
      <c r="IQ113"/>
      <c r="IR113"/>
      <c r="IS113"/>
      <c r="IT113"/>
      <c r="IU113"/>
      <c r="IV113"/>
    </row>
    <row r="114" spans="1:256" s="7" customFormat="1">
      <c r="A114" t="s">
        <v>157</v>
      </c>
      <c r="B114" s="51">
        <v>45199</v>
      </c>
      <c r="C114" s="8">
        <v>714</v>
      </c>
      <c r="D114">
        <f>44.27+10.35+2.5</f>
        <v>57.120000000000005</v>
      </c>
      <c r="E114"/>
      <c r="F114"/>
      <c r="G114"/>
      <c r="H114"/>
      <c r="I114" s="9">
        <f t="shared" si="6"/>
        <v>771.12</v>
      </c>
      <c r="J114" s="9">
        <f t="shared" ref="J114:J122" si="8">J113+H114-I114</f>
        <v>41114.585164979108</v>
      </c>
      <c r="K114" s="15"/>
      <c r="L114" s="15"/>
      <c r="M114" s="52"/>
      <c r="N114"/>
      <c r="O114"/>
      <c r="P114"/>
      <c r="Q114"/>
      <c r="R114"/>
      <c r="S114"/>
      <c r="T114"/>
      <c r="U114"/>
      <c r="V114"/>
      <c r="W114"/>
      <c r="X114"/>
      <c r="Y114"/>
      <c r="Z114"/>
      <c r="AA114"/>
      <c r="AB114"/>
      <c r="AC114"/>
      <c r="AD114"/>
      <c r="AE114"/>
      <c r="AF114"/>
      <c r="AG114"/>
      <c r="AH114"/>
      <c r="AI114"/>
      <c r="AJ114"/>
      <c r="AK114"/>
      <c r="AL114"/>
      <c r="AM114"/>
      <c r="AN114"/>
      <c r="AO114"/>
      <c r="AP114"/>
      <c r="AQ114"/>
      <c r="AR114"/>
      <c r="AS114"/>
      <c r="AT114"/>
      <c r="AU114"/>
      <c r="AV114"/>
      <c r="AW114"/>
      <c r="AX114"/>
      <c r="AY114"/>
      <c r="AZ114"/>
      <c r="BA114"/>
      <c r="BB114"/>
      <c r="BC114"/>
      <c r="BD114"/>
      <c r="BE114"/>
      <c r="BF114"/>
      <c r="BG114"/>
      <c r="BH114"/>
      <c r="BI114"/>
      <c r="BJ114"/>
      <c r="BK114"/>
      <c r="BL114"/>
      <c r="BM114"/>
      <c r="BN114"/>
      <c r="BO114"/>
      <c r="BP114"/>
      <c r="BQ114"/>
      <c r="BR114"/>
      <c r="BS114"/>
      <c r="BT114"/>
      <c r="BU114"/>
      <c r="BV114"/>
      <c r="BW114"/>
      <c r="BX114"/>
      <c r="BY114"/>
      <c r="BZ114"/>
      <c r="CA114"/>
      <c r="CB114"/>
      <c r="CC114"/>
      <c r="CD114"/>
      <c r="CE114"/>
      <c r="CF114"/>
      <c r="CG114"/>
      <c r="CH114"/>
      <c r="CI114"/>
      <c r="CJ114"/>
      <c r="CK114"/>
      <c r="CL114"/>
      <c r="CM114"/>
      <c r="CN114"/>
      <c r="CO114"/>
      <c r="CP114"/>
      <c r="CQ114"/>
      <c r="CR114"/>
      <c r="CS114"/>
      <c r="CT114"/>
      <c r="CU114"/>
      <c r="CV114"/>
      <c r="CW114"/>
      <c r="CX114"/>
      <c r="CY114"/>
      <c r="CZ114"/>
      <c r="DA114"/>
      <c r="DB114"/>
      <c r="DC114"/>
      <c r="DD114"/>
      <c r="DE114"/>
      <c r="DF114"/>
      <c r="DG114"/>
      <c r="DH114"/>
      <c r="DI114"/>
      <c r="DJ114"/>
      <c r="DK114"/>
      <c r="DL114"/>
      <c r="DM114"/>
      <c r="DN114"/>
      <c r="DO114"/>
      <c r="DP114"/>
      <c r="DQ114"/>
      <c r="DR114"/>
      <c r="DS114"/>
      <c r="DT114"/>
      <c r="DU114"/>
      <c r="DV114"/>
      <c r="DW114"/>
      <c r="DX114"/>
      <c r="DY114"/>
      <c r="DZ114"/>
      <c r="EA114"/>
      <c r="EB114"/>
      <c r="EC114"/>
      <c r="ED114"/>
      <c r="EE114"/>
      <c r="EF114"/>
      <c r="EG114"/>
      <c r="EH114"/>
      <c r="EI114"/>
      <c r="EJ114"/>
      <c r="EK114"/>
      <c r="EL114"/>
      <c r="EM114"/>
      <c r="EN114"/>
      <c r="EO114"/>
      <c r="EP114"/>
      <c r="EQ114"/>
      <c r="ER114"/>
      <c r="ES114"/>
      <c r="ET114"/>
      <c r="EU114"/>
      <c r="EV114"/>
      <c r="EW114"/>
      <c r="EX114"/>
      <c r="EY114"/>
      <c r="EZ114"/>
      <c r="FA114"/>
      <c r="FB114"/>
      <c r="FC114"/>
      <c r="FD114"/>
      <c r="FE114"/>
      <c r="FF114"/>
      <c r="FG114"/>
      <c r="FH114"/>
      <c r="FI114"/>
      <c r="FJ114"/>
      <c r="FK114"/>
      <c r="FL114"/>
      <c r="FM114"/>
      <c r="FN114"/>
      <c r="FO114"/>
      <c r="FP114"/>
      <c r="FQ114"/>
      <c r="FR114"/>
      <c r="FS114"/>
      <c r="FT114"/>
      <c r="FU114"/>
      <c r="FV114"/>
      <c r="FW114"/>
      <c r="FX114"/>
      <c r="FY114"/>
      <c r="FZ114"/>
      <c r="GA114"/>
      <c r="GB114"/>
      <c r="GC114"/>
      <c r="GD114"/>
      <c r="GE114"/>
      <c r="GF114"/>
      <c r="GG114"/>
      <c r="GH114"/>
      <c r="GI114"/>
      <c r="GJ114"/>
      <c r="GK114"/>
      <c r="GL114"/>
      <c r="GM114"/>
      <c r="GN114"/>
      <c r="GO114"/>
      <c r="GP114"/>
      <c r="GQ114"/>
      <c r="GR114"/>
      <c r="GS114"/>
      <c r="GT114"/>
      <c r="GU114"/>
      <c r="GV114"/>
      <c r="GW114"/>
      <c r="GX114"/>
      <c r="GY114"/>
      <c r="GZ114"/>
      <c r="HA114"/>
      <c r="HB114"/>
      <c r="HC114"/>
      <c r="HD114"/>
      <c r="HE114"/>
      <c r="HF114"/>
      <c r="HG114"/>
      <c r="HH114"/>
      <c r="HI114"/>
      <c r="HJ114"/>
      <c r="HK114"/>
      <c r="HL114"/>
      <c r="HM114"/>
      <c r="HN114"/>
      <c r="HO114"/>
      <c r="HP114"/>
      <c r="HQ114"/>
      <c r="HR114"/>
      <c r="HS114"/>
      <c r="HT114"/>
      <c r="HU114"/>
      <c r="HV114"/>
      <c r="HW114"/>
      <c r="HX114"/>
      <c r="HY114"/>
      <c r="HZ114"/>
      <c r="IA114"/>
      <c r="IB114"/>
      <c r="IC114"/>
      <c r="ID114"/>
      <c r="IE114"/>
      <c r="IF114"/>
      <c r="IG114"/>
      <c r="IH114"/>
      <c r="II114"/>
      <c r="IJ114"/>
      <c r="IK114"/>
      <c r="IL114"/>
      <c r="IM114"/>
      <c r="IN114"/>
      <c r="IO114"/>
      <c r="IP114"/>
      <c r="IQ114"/>
      <c r="IR114"/>
      <c r="IS114"/>
      <c r="IT114"/>
      <c r="IU114"/>
      <c r="IV114"/>
    </row>
    <row r="115" spans="1:256" s="7" customFormat="1">
      <c r="A115" t="s">
        <v>158</v>
      </c>
      <c r="B115" s="51">
        <v>45199</v>
      </c>
      <c r="C115" s="8">
        <v>369.6</v>
      </c>
      <c r="D115">
        <f>22.92+5.36+1.29</f>
        <v>29.57</v>
      </c>
      <c r="E115"/>
      <c r="F115"/>
      <c r="G115"/>
      <c r="H115"/>
      <c r="I115" s="9">
        <f t="shared" si="6"/>
        <v>399.17</v>
      </c>
      <c r="J115" s="9">
        <f t="shared" si="8"/>
        <v>40715.415164979109</v>
      </c>
      <c r="K115" s="15">
        <f>SUM(I114:I115)</f>
        <v>1170.29</v>
      </c>
      <c r="L115" s="15">
        <f>40715.42-0</f>
        <v>40715.42</v>
      </c>
      <c r="M115" s="52" t="s">
        <v>159</v>
      </c>
      <c r="N115"/>
      <c r="O115"/>
      <c r="P115"/>
      <c r="Q115"/>
      <c r="R115"/>
      <c r="S115"/>
      <c r="T115"/>
      <c r="U115"/>
      <c r="V115"/>
      <c r="W115"/>
      <c r="X115"/>
      <c r="Y115"/>
      <c r="Z115"/>
      <c r="AA115"/>
      <c r="AB115"/>
      <c r="AC115"/>
      <c r="AD115"/>
      <c r="AE115"/>
      <c r="AF115"/>
      <c r="AG115"/>
      <c r="AH115"/>
      <c r="AI115"/>
      <c r="AJ115"/>
      <c r="AK115"/>
      <c r="AL115"/>
      <c r="AM115"/>
      <c r="AN115"/>
      <c r="AO115"/>
      <c r="AP115"/>
      <c r="AQ115"/>
      <c r="AR115"/>
      <c r="AS115"/>
      <c r="AT115"/>
      <c r="AU115"/>
      <c r="AV115"/>
      <c r="AW115"/>
      <c r="AX115"/>
      <c r="AY115"/>
      <c r="AZ115"/>
      <c r="BA115"/>
      <c r="BB115"/>
      <c r="BC115"/>
      <c r="BD115"/>
      <c r="BE115"/>
      <c r="BF115"/>
      <c r="BG115"/>
      <c r="BH115"/>
      <c r="BI115"/>
      <c r="BJ115"/>
      <c r="BK115"/>
      <c r="BL115"/>
      <c r="BM115"/>
      <c r="BN115"/>
      <c r="BO115"/>
      <c r="BP115"/>
      <c r="BQ115"/>
      <c r="BR115"/>
      <c r="BS115"/>
      <c r="BT115"/>
      <c r="BU115"/>
      <c r="BV115"/>
      <c r="BW115"/>
      <c r="BX115"/>
      <c r="BY115"/>
      <c r="BZ115"/>
      <c r="CA115"/>
      <c r="CB115"/>
      <c r="CC115"/>
      <c r="CD115"/>
      <c r="CE115"/>
      <c r="CF115"/>
      <c r="CG115"/>
      <c r="CH115"/>
      <c r="CI115"/>
      <c r="CJ115"/>
      <c r="CK115"/>
      <c r="CL115"/>
      <c r="CM115"/>
      <c r="CN115"/>
      <c r="CO115"/>
      <c r="CP115"/>
      <c r="CQ115"/>
      <c r="CR115"/>
      <c r="CS115"/>
      <c r="CT115"/>
      <c r="CU115"/>
      <c r="CV115"/>
      <c r="CW115"/>
      <c r="CX115"/>
      <c r="CY115"/>
      <c r="CZ115"/>
      <c r="DA115"/>
      <c r="DB115"/>
      <c r="DC115"/>
      <c r="DD115"/>
      <c r="DE115"/>
      <c r="DF115"/>
      <c r="DG115"/>
      <c r="DH115"/>
      <c r="DI115"/>
      <c r="DJ115"/>
      <c r="DK115"/>
      <c r="DL115"/>
      <c r="DM115"/>
      <c r="DN115"/>
      <c r="DO115"/>
      <c r="DP115"/>
      <c r="DQ115"/>
      <c r="DR115"/>
      <c r="DS115"/>
      <c r="DT115"/>
      <c r="DU115"/>
      <c r="DV115"/>
      <c r="DW115"/>
      <c r="DX115"/>
      <c r="DY115"/>
      <c r="DZ115"/>
      <c r="EA115"/>
      <c r="EB115"/>
      <c r="EC115"/>
      <c r="ED115"/>
      <c r="EE115"/>
      <c r="EF115"/>
      <c r="EG115"/>
      <c r="EH115"/>
      <c r="EI115"/>
      <c r="EJ115"/>
      <c r="EK115"/>
      <c r="EL115"/>
      <c r="EM115"/>
      <c r="EN115"/>
      <c r="EO115"/>
      <c r="EP115"/>
      <c r="EQ115"/>
      <c r="ER115"/>
      <c r="ES115"/>
      <c r="ET115"/>
      <c r="EU115"/>
      <c r="EV115"/>
      <c r="EW115"/>
      <c r="EX115"/>
      <c r="EY115"/>
      <c r="EZ115"/>
      <c r="FA115"/>
      <c r="FB115"/>
      <c r="FC115"/>
      <c r="FD115"/>
      <c r="FE115"/>
      <c r="FF115"/>
      <c r="FG115"/>
      <c r="FH115"/>
      <c r="FI115"/>
      <c r="FJ115"/>
      <c r="FK115"/>
      <c r="FL115"/>
      <c r="FM115"/>
      <c r="FN115"/>
      <c r="FO115"/>
      <c r="FP115"/>
      <c r="FQ115"/>
      <c r="FR115"/>
      <c r="FS115"/>
      <c r="FT115"/>
      <c r="FU115"/>
      <c r="FV115"/>
      <c r="FW115"/>
      <c r="FX115"/>
      <c r="FY115"/>
      <c r="FZ115"/>
      <c r="GA115"/>
      <c r="GB115"/>
      <c r="GC115"/>
      <c r="GD115"/>
      <c r="GE115"/>
      <c r="GF115"/>
      <c r="GG115"/>
      <c r="GH115"/>
      <c r="GI115"/>
      <c r="GJ115"/>
      <c r="GK115"/>
      <c r="GL115"/>
      <c r="GM115"/>
      <c r="GN115"/>
      <c r="GO115"/>
      <c r="GP115"/>
      <c r="GQ115"/>
      <c r="GR115"/>
      <c r="GS115"/>
      <c r="GT115"/>
      <c r="GU115"/>
      <c r="GV115"/>
      <c r="GW115"/>
      <c r="GX115"/>
      <c r="GY115"/>
      <c r="GZ115"/>
      <c r="HA115"/>
      <c r="HB115"/>
      <c r="HC115"/>
      <c r="HD115"/>
      <c r="HE115"/>
      <c r="HF115"/>
      <c r="HG115"/>
      <c r="HH115"/>
      <c r="HI115"/>
      <c r="HJ115"/>
      <c r="HK115"/>
      <c r="HL115"/>
      <c r="HM115"/>
      <c r="HN115"/>
      <c r="HO115"/>
      <c r="HP115"/>
      <c r="HQ115"/>
      <c r="HR115"/>
      <c r="HS115"/>
      <c r="HT115"/>
      <c r="HU115"/>
      <c r="HV115"/>
      <c r="HW115"/>
      <c r="HX115"/>
      <c r="HY115"/>
      <c r="HZ115"/>
      <c r="IA115"/>
      <c r="IB115"/>
      <c r="IC115"/>
      <c r="ID115"/>
      <c r="IE115"/>
      <c r="IF115"/>
      <c r="IG115"/>
      <c r="IH115"/>
      <c r="II115"/>
      <c r="IJ115"/>
      <c r="IK115"/>
      <c r="IL115"/>
      <c r="IM115"/>
      <c r="IN115"/>
      <c r="IO115"/>
      <c r="IP115"/>
      <c r="IQ115"/>
      <c r="IR115"/>
      <c r="IS115"/>
      <c r="IT115"/>
      <c r="IU115"/>
      <c r="IV115"/>
    </row>
    <row r="116" spans="1:256" s="7" customFormat="1">
      <c r="A116" t="s">
        <v>160</v>
      </c>
      <c r="B116" s="51">
        <v>45230</v>
      </c>
      <c r="C116" s="8">
        <v>726.6</v>
      </c>
      <c r="D116">
        <f>45.05+10.54+2.54</f>
        <v>58.129999999999995</v>
      </c>
      <c r="E116"/>
      <c r="F116"/>
      <c r="G116"/>
      <c r="H116"/>
      <c r="I116" s="9">
        <f t="shared" si="6"/>
        <v>784.73</v>
      </c>
      <c r="J116" s="9">
        <f t="shared" si="8"/>
        <v>39930.685164979106</v>
      </c>
      <c r="K116" s="15"/>
      <c r="L116" s="15"/>
      <c r="M116" s="52"/>
      <c r="N116"/>
      <c r="O116"/>
      <c r="P116"/>
      <c r="Q116"/>
      <c r="R116"/>
      <c r="S116"/>
      <c r="T116"/>
      <c r="U116"/>
      <c r="V116"/>
      <c r="W116"/>
      <c r="X116"/>
      <c r="Y116"/>
      <c r="Z116"/>
      <c r="AA116"/>
      <c r="AB116"/>
      <c r="AC116"/>
      <c r="AD116"/>
      <c r="AE116"/>
      <c r="AF116"/>
      <c r="AG116"/>
      <c r="AH116"/>
      <c r="AI116"/>
      <c r="AJ116"/>
      <c r="AK116"/>
      <c r="AL116"/>
      <c r="AM116"/>
      <c r="AN116"/>
      <c r="AO116"/>
      <c r="AP116"/>
      <c r="AQ116"/>
      <c r="AR116"/>
      <c r="AS116"/>
      <c r="AT116"/>
      <c r="AU116"/>
      <c r="AV116"/>
      <c r="AW116"/>
      <c r="AX116"/>
      <c r="AY116"/>
      <c r="AZ116"/>
      <c r="BA116"/>
      <c r="BB116"/>
      <c r="BC116"/>
      <c r="BD116"/>
      <c r="BE116"/>
      <c r="BF116"/>
      <c r="BG116"/>
      <c r="BH116"/>
      <c r="BI116"/>
      <c r="BJ116"/>
      <c r="BK116"/>
      <c r="BL116"/>
      <c r="BM116"/>
      <c r="BN116"/>
      <c r="BO116"/>
      <c r="BP116"/>
      <c r="BQ116"/>
      <c r="BR116"/>
      <c r="BS116"/>
      <c r="BT116"/>
      <c r="BU116"/>
      <c r="BV116"/>
      <c r="BW116"/>
      <c r="BX116"/>
      <c r="BY116"/>
      <c r="BZ116"/>
      <c r="CA116"/>
      <c r="CB116"/>
      <c r="CC116"/>
      <c r="CD116"/>
      <c r="CE116"/>
      <c r="CF116"/>
      <c r="CG116"/>
      <c r="CH116"/>
      <c r="CI116"/>
      <c r="CJ116"/>
      <c r="CK116"/>
      <c r="CL116"/>
      <c r="CM116"/>
      <c r="CN116"/>
      <c r="CO116"/>
      <c r="CP116"/>
      <c r="CQ116"/>
      <c r="CR116"/>
      <c r="CS116"/>
      <c r="CT116"/>
      <c r="CU116"/>
      <c r="CV116"/>
      <c r="CW116"/>
      <c r="CX116"/>
      <c r="CY116"/>
      <c r="CZ116"/>
      <c r="DA116"/>
      <c r="DB116"/>
      <c r="DC116"/>
      <c r="DD116"/>
      <c r="DE116"/>
      <c r="DF116"/>
      <c r="DG116"/>
      <c r="DH116"/>
      <c r="DI116"/>
      <c r="DJ116"/>
      <c r="DK116"/>
      <c r="DL116"/>
      <c r="DM116"/>
      <c r="DN116"/>
      <c r="DO116"/>
      <c r="DP116"/>
      <c r="DQ116"/>
      <c r="DR116"/>
      <c r="DS116"/>
      <c r="DT116"/>
      <c r="DU116"/>
      <c r="DV116"/>
      <c r="DW116"/>
      <c r="DX116"/>
      <c r="DY116"/>
      <c r="DZ116"/>
      <c r="EA116"/>
      <c r="EB116"/>
      <c r="EC116"/>
      <c r="ED116"/>
      <c r="EE116"/>
      <c r="EF116"/>
      <c r="EG116"/>
      <c r="EH116"/>
      <c r="EI116"/>
      <c r="EJ116"/>
      <c r="EK116"/>
      <c r="EL116"/>
      <c r="EM116"/>
      <c r="EN116"/>
      <c r="EO116"/>
      <c r="EP116"/>
      <c r="EQ116"/>
      <c r="ER116"/>
      <c r="ES116"/>
      <c r="ET116"/>
      <c r="EU116"/>
      <c r="EV116"/>
      <c r="EW116"/>
      <c r="EX116"/>
      <c r="EY116"/>
      <c r="EZ116"/>
      <c r="FA116"/>
      <c r="FB116"/>
      <c r="FC116"/>
      <c r="FD116"/>
      <c r="FE116"/>
      <c r="FF116"/>
      <c r="FG116"/>
      <c r="FH116"/>
      <c r="FI116"/>
      <c r="FJ116"/>
      <c r="FK116"/>
      <c r="FL116"/>
      <c r="FM116"/>
      <c r="FN116"/>
      <c r="FO116"/>
      <c r="FP116"/>
      <c r="FQ116"/>
      <c r="FR116"/>
      <c r="FS116"/>
      <c r="FT116"/>
      <c r="FU116"/>
      <c r="FV116"/>
      <c r="FW116"/>
      <c r="FX116"/>
      <c r="FY116"/>
      <c r="FZ116"/>
      <c r="GA116"/>
      <c r="GB116"/>
      <c r="GC116"/>
      <c r="GD116"/>
      <c r="GE116"/>
      <c r="GF116"/>
      <c r="GG116"/>
      <c r="GH116"/>
      <c r="GI116"/>
      <c r="GJ116"/>
      <c r="GK116"/>
      <c r="GL116"/>
      <c r="GM116"/>
      <c r="GN116"/>
      <c r="GO116"/>
      <c r="GP116"/>
      <c r="GQ116"/>
      <c r="GR116"/>
      <c r="GS116"/>
      <c r="GT116"/>
      <c r="GU116"/>
      <c r="GV116"/>
      <c r="GW116"/>
      <c r="GX116"/>
      <c r="GY116"/>
      <c r="GZ116"/>
      <c r="HA116"/>
      <c r="HB116"/>
      <c r="HC116"/>
      <c r="HD116"/>
      <c r="HE116"/>
      <c r="HF116"/>
      <c r="HG116"/>
      <c r="HH116"/>
      <c r="HI116"/>
      <c r="HJ116"/>
      <c r="HK116"/>
      <c r="HL116"/>
      <c r="HM116"/>
      <c r="HN116"/>
      <c r="HO116"/>
      <c r="HP116"/>
      <c r="HQ116"/>
      <c r="HR116"/>
      <c r="HS116"/>
      <c r="HT116"/>
      <c r="HU116"/>
      <c r="HV116"/>
      <c r="HW116"/>
      <c r="HX116"/>
      <c r="HY116"/>
      <c r="HZ116"/>
      <c r="IA116"/>
      <c r="IB116"/>
      <c r="IC116"/>
      <c r="ID116"/>
      <c r="IE116"/>
      <c r="IF116"/>
      <c r="IG116"/>
      <c r="IH116"/>
      <c r="II116"/>
      <c r="IJ116"/>
      <c r="IK116"/>
      <c r="IL116"/>
      <c r="IM116"/>
      <c r="IN116"/>
      <c r="IO116"/>
      <c r="IP116"/>
      <c r="IQ116"/>
      <c r="IR116"/>
      <c r="IS116"/>
      <c r="IT116"/>
      <c r="IU116"/>
      <c r="IV116"/>
    </row>
    <row r="117" spans="1:256" s="7" customFormat="1">
      <c r="A117" t="s">
        <v>161</v>
      </c>
      <c r="B117" s="51">
        <v>45230</v>
      </c>
      <c r="C117" s="8">
        <v>793.8</v>
      </c>
      <c r="D117">
        <f>49.22+11.52+2.78</f>
        <v>63.519999999999996</v>
      </c>
      <c r="E117"/>
      <c r="F117"/>
      <c r="G117"/>
      <c r="H117"/>
      <c r="I117" s="9">
        <f t="shared" si="6"/>
        <v>857.31999999999994</v>
      </c>
      <c r="J117" s="9">
        <f t="shared" si="8"/>
        <v>39073.365164979106</v>
      </c>
      <c r="K117" s="15">
        <f>SUM(I116:I117)</f>
        <v>1642.05</v>
      </c>
      <c r="L117" s="15">
        <f>39073.37</f>
        <v>39073.370000000003</v>
      </c>
      <c r="M117" s="52" t="s">
        <v>162</v>
      </c>
      <c r="N117"/>
      <c r="O117"/>
      <c r="P117"/>
      <c r="Q117"/>
      <c r="R117"/>
      <c r="S117"/>
      <c r="T117"/>
      <c r="U117"/>
      <c r="V117"/>
      <c r="W117"/>
      <c r="X117"/>
      <c r="Y117"/>
      <c r="Z117"/>
      <c r="AA117"/>
      <c r="AB117"/>
      <c r="AC117"/>
      <c r="AD117"/>
      <c r="AE117"/>
      <c r="AF117"/>
      <c r="AG117"/>
      <c r="AH117"/>
      <c r="AI117"/>
      <c r="AJ117"/>
      <c r="AK117"/>
      <c r="AL117"/>
      <c r="AM117"/>
      <c r="AN117"/>
      <c r="AO117"/>
      <c r="AP117"/>
      <c r="AQ117"/>
      <c r="AR117"/>
      <c r="AS117"/>
      <c r="AT117"/>
      <c r="AU117"/>
      <c r="AV117"/>
      <c r="AW117"/>
      <c r="AX117"/>
      <c r="AY117"/>
      <c r="AZ117"/>
      <c r="BA117"/>
      <c r="BB117"/>
      <c r="BC117"/>
      <c r="BD117"/>
      <c r="BE117"/>
      <c r="BF117"/>
      <c r="BG117"/>
      <c r="BH117"/>
      <c r="BI117"/>
      <c r="BJ117"/>
      <c r="BK117"/>
      <c r="BL117"/>
      <c r="BM117"/>
      <c r="BN117"/>
      <c r="BO117"/>
      <c r="BP117"/>
      <c r="BQ117"/>
      <c r="BR117"/>
      <c r="BS117"/>
      <c r="BT117"/>
      <c r="BU117"/>
      <c r="BV117"/>
      <c r="BW117"/>
      <c r="BX117"/>
      <c r="BY117"/>
      <c r="BZ117"/>
      <c r="CA117"/>
      <c r="CB117"/>
      <c r="CC117"/>
      <c r="CD117"/>
      <c r="CE117"/>
      <c r="CF117"/>
      <c r="CG117"/>
      <c r="CH117"/>
      <c r="CI117"/>
      <c r="CJ117"/>
      <c r="CK117"/>
      <c r="CL117"/>
      <c r="CM117"/>
      <c r="CN117"/>
      <c r="CO117"/>
      <c r="CP117"/>
      <c r="CQ117"/>
      <c r="CR117"/>
      <c r="CS117"/>
      <c r="CT117"/>
      <c r="CU117"/>
      <c r="CV117"/>
      <c r="CW117"/>
      <c r="CX117"/>
      <c r="CY117"/>
      <c r="CZ117"/>
      <c r="DA117"/>
      <c r="DB117"/>
      <c r="DC117"/>
      <c r="DD117"/>
      <c r="DE117"/>
      <c r="DF117"/>
      <c r="DG117"/>
      <c r="DH117"/>
      <c r="DI117"/>
      <c r="DJ117"/>
      <c r="DK117"/>
      <c r="DL117"/>
      <c r="DM117"/>
      <c r="DN117"/>
      <c r="DO117"/>
      <c r="DP117"/>
      <c r="DQ117"/>
      <c r="DR117"/>
      <c r="DS117"/>
      <c r="DT117"/>
      <c r="DU117"/>
      <c r="DV117"/>
      <c r="DW117"/>
      <c r="DX117"/>
      <c r="DY117"/>
      <c r="DZ117"/>
      <c r="EA117"/>
      <c r="EB117"/>
      <c r="EC117"/>
      <c r="ED117"/>
      <c r="EE117"/>
      <c r="EF117"/>
      <c r="EG117"/>
      <c r="EH117"/>
      <c r="EI117"/>
      <c r="EJ117"/>
      <c r="EK117"/>
      <c r="EL117"/>
      <c r="EM117"/>
      <c r="EN117"/>
      <c r="EO117"/>
      <c r="EP117"/>
      <c r="EQ117"/>
      <c r="ER117"/>
      <c r="ES117"/>
      <c r="ET117"/>
      <c r="EU117"/>
      <c r="EV117"/>
      <c r="EW117"/>
      <c r="EX117"/>
      <c r="EY117"/>
      <c r="EZ117"/>
      <c r="FA117"/>
      <c r="FB117"/>
      <c r="FC117"/>
      <c r="FD117"/>
      <c r="FE117"/>
      <c r="FF117"/>
      <c r="FG117"/>
      <c r="FH117"/>
      <c r="FI117"/>
      <c r="FJ117"/>
      <c r="FK117"/>
      <c r="FL117"/>
      <c r="FM117"/>
      <c r="FN117"/>
      <c r="FO117"/>
      <c r="FP117"/>
      <c r="FQ117"/>
      <c r="FR117"/>
      <c r="FS117"/>
      <c r="FT117"/>
      <c r="FU117"/>
      <c r="FV117"/>
      <c r="FW117"/>
      <c r="FX117"/>
      <c r="FY117"/>
      <c r="FZ117"/>
      <c r="GA117"/>
      <c r="GB117"/>
      <c r="GC117"/>
      <c r="GD117"/>
      <c r="GE117"/>
      <c r="GF117"/>
      <c r="GG117"/>
      <c r="GH117"/>
      <c r="GI117"/>
      <c r="GJ117"/>
      <c r="GK117"/>
      <c r="GL117"/>
      <c r="GM117"/>
      <c r="GN117"/>
      <c r="GO117"/>
      <c r="GP117"/>
      <c r="GQ117"/>
      <c r="GR117"/>
      <c r="GS117"/>
      <c r="GT117"/>
      <c r="GU117"/>
      <c r="GV117"/>
      <c r="GW117"/>
      <c r="GX117"/>
      <c r="GY117"/>
      <c r="GZ117"/>
      <c r="HA117"/>
      <c r="HB117"/>
      <c r="HC117"/>
      <c r="HD117"/>
      <c r="HE117"/>
      <c r="HF117"/>
      <c r="HG117"/>
      <c r="HH117"/>
      <c r="HI117"/>
      <c r="HJ117"/>
      <c r="HK117"/>
      <c r="HL117"/>
      <c r="HM117"/>
      <c r="HN117"/>
      <c r="HO117"/>
      <c r="HP117"/>
      <c r="HQ117"/>
      <c r="HR117"/>
      <c r="HS117"/>
      <c r="HT117"/>
      <c r="HU117"/>
      <c r="HV117"/>
      <c r="HW117"/>
      <c r="HX117"/>
      <c r="HY117"/>
      <c r="HZ117"/>
      <c r="IA117"/>
      <c r="IB117"/>
      <c r="IC117"/>
      <c r="ID117"/>
      <c r="IE117"/>
      <c r="IF117"/>
      <c r="IG117"/>
      <c r="IH117"/>
      <c r="II117"/>
      <c r="IJ117"/>
      <c r="IK117"/>
      <c r="IL117"/>
      <c r="IM117"/>
      <c r="IN117"/>
      <c r="IO117"/>
      <c r="IP117"/>
      <c r="IQ117"/>
      <c r="IR117"/>
      <c r="IS117"/>
      <c r="IT117"/>
      <c r="IU117"/>
      <c r="IV117"/>
    </row>
    <row r="118" spans="1:256" s="7" customFormat="1">
      <c r="A118" t="s">
        <v>163</v>
      </c>
      <c r="B118" s="51">
        <v>45260</v>
      </c>
      <c r="C118" s="8">
        <v>504</v>
      </c>
      <c r="D118">
        <f>31.25+7.31+1.77</f>
        <v>40.330000000000005</v>
      </c>
      <c r="E118"/>
      <c r="F118"/>
      <c r="G118"/>
      <c r="H118"/>
      <c r="I118" s="9">
        <f t="shared" si="6"/>
        <v>544.33000000000004</v>
      </c>
      <c r="J118" s="9">
        <f t="shared" si="8"/>
        <v>38529.035164979105</v>
      </c>
      <c r="K118" s="15"/>
      <c r="L118" s="15"/>
      <c r="M118" s="52"/>
      <c r="N118"/>
      <c r="O118"/>
      <c r="P118"/>
      <c r="Q118"/>
      <c r="R118"/>
      <c r="S118"/>
      <c r="T118"/>
      <c r="U118"/>
      <c r="V118"/>
      <c r="W118"/>
      <c r="X118"/>
      <c r="Y118"/>
      <c r="Z118"/>
      <c r="AA118"/>
      <c r="AB118"/>
      <c r="AC118"/>
      <c r="AD118"/>
      <c r="AE118"/>
      <c r="AF118"/>
      <c r="AG118"/>
      <c r="AH118"/>
      <c r="AI118"/>
      <c r="AJ118"/>
      <c r="AK118"/>
      <c r="AL118"/>
      <c r="AM118"/>
      <c r="AN118"/>
      <c r="AO118"/>
      <c r="AP118"/>
      <c r="AQ118"/>
      <c r="AR118"/>
      <c r="AS118"/>
      <c r="AT118"/>
      <c r="AU118"/>
      <c r="AV118"/>
      <c r="AW118"/>
      <c r="AX118"/>
      <c r="AY118"/>
      <c r="AZ118"/>
      <c r="BA118"/>
      <c r="BB118"/>
      <c r="BC118"/>
      <c r="BD118"/>
      <c r="BE118"/>
      <c r="BF118"/>
      <c r="BG118"/>
      <c r="BH118"/>
      <c r="BI118"/>
      <c r="BJ118"/>
      <c r="BK118"/>
      <c r="BL118"/>
      <c r="BM118"/>
      <c r="BN118"/>
      <c r="BO118"/>
      <c r="BP118"/>
      <c r="BQ118"/>
      <c r="BR118"/>
      <c r="BS118"/>
      <c r="BT118"/>
      <c r="BU118"/>
      <c r="BV118"/>
      <c r="BW118"/>
      <c r="BX118"/>
      <c r="BY118"/>
      <c r="BZ118"/>
      <c r="CA118"/>
      <c r="CB118"/>
      <c r="CC118"/>
      <c r="CD118"/>
      <c r="CE118"/>
      <c r="CF118"/>
      <c r="CG118"/>
      <c r="CH118"/>
      <c r="CI118"/>
      <c r="CJ118"/>
      <c r="CK118"/>
      <c r="CL118"/>
      <c r="CM118"/>
      <c r="CN118"/>
      <c r="CO118"/>
      <c r="CP118"/>
      <c r="CQ118"/>
      <c r="CR118"/>
      <c r="CS118"/>
      <c r="CT118"/>
      <c r="CU118"/>
      <c r="CV118"/>
      <c r="CW118"/>
      <c r="CX118"/>
      <c r="CY118"/>
      <c r="CZ118"/>
      <c r="DA118"/>
      <c r="DB118"/>
      <c r="DC118"/>
      <c r="DD118"/>
      <c r="DE118"/>
      <c r="DF118"/>
      <c r="DG118"/>
      <c r="DH118"/>
      <c r="DI118"/>
      <c r="DJ118"/>
      <c r="DK118"/>
      <c r="DL118"/>
      <c r="DM118"/>
      <c r="DN118"/>
      <c r="DO118"/>
      <c r="DP118"/>
      <c r="DQ118"/>
      <c r="DR118"/>
      <c r="DS118"/>
      <c r="DT118"/>
      <c r="DU118"/>
      <c r="DV118"/>
      <c r="DW118"/>
      <c r="DX118"/>
      <c r="DY118"/>
      <c r="DZ118"/>
      <c r="EA118"/>
      <c r="EB118"/>
      <c r="EC118"/>
      <c r="ED118"/>
      <c r="EE118"/>
      <c r="EF118"/>
      <c r="EG118"/>
      <c r="EH118"/>
      <c r="EI118"/>
      <c r="EJ118"/>
      <c r="EK118"/>
      <c r="EL118"/>
      <c r="EM118"/>
      <c r="EN118"/>
      <c r="EO118"/>
      <c r="EP118"/>
      <c r="EQ118"/>
      <c r="ER118"/>
      <c r="ES118"/>
      <c r="ET118"/>
      <c r="EU118"/>
      <c r="EV118"/>
      <c r="EW118"/>
      <c r="EX118"/>
      <c r="EY118"/>
      <c r="EZ118"/>
      <c r="FA118"/>
      <c r="FB118"/>
      <c r="FC118"/>
      <c r="FD118"/>
      <c r="FE118"/>
      <c r="FF118"/>
      <c r="FG118"/>
      <c r="FH118"/>
      <c r="FI118"/>
      <c r="FJ118"/>
      <c r="FK118"/>
      <c r="FL118"/>
      <c r="FM118"/>
      <c r="FN118"/>
      <c r="FO118"/>
      <c r="FP118"/>
      <c r="FQ118"/>
      <c r="FR118"/>
      <c r="FS118"/>
      <c r="FT118"/>
      <c r="FU118"/>
      <c r="FV118"/>
      <c r="FW118"/>
      <c r="FX118"/>
      <c r="FY118"/>
      <c r="FZ118"/>
      <c r="GA118"/>
      <c r="GB118"/>
      <c r="GC118"/>
      <c r="GD118"/>
      <c r="GE118"/>
      <c r="GF118"/>
      <c r="GG118"/>
      <c r="GH118"/>
      <c r="GI118"/>
      <c r="GJ118"/>
      <c r="GK118"/>
      <c r="GL118"/>
      <c r="GM118"/>
      <c r="GN118"/>
      <c r="GO118"/>
      <c r="GP118"/>
      <c r="GQ118"/>
      <c r="GR118"/>
      <c r="GS118"/>
      <c r="GT118"/>
      <c r="GU118"/>
      <c r="GV118"/>
      <c r="GW118"/>
      <c r="GX118"/>
      <c r="GY118"/>
      <c r="GZ118"/>
      <c r="HA118"/>
      <c r="HB118"/>
      <c r="HC118"/>
      <c r="HD118"/>
      <c r="HE118"/>
      <c r="HF118"/>
      <c r="HG118"/>
      <c r="HH118"/>
      <c r="HI118"/>
      <c r="HJ118"/>
      <c r="HK118"/>
      <c r="HL118"/>
      <c r="HM118"/>
      <c r="HN118"/>
      <c r="HO118"/>
      <c r="HP118"/>
      <c r="HQ118"/>
      <c r="HR118"/>
      <c r="HS118"/>
      <c r="HT118"/>
      <c r="HU118"/>
      <c r="HV118"/>
      <c r="HW118"/>
      <c r="HX118"/>
      <c r="HY118"/>
      <c r="HZ118"/>
      <c r="IA118"/>
      <c r="IB118"/>
      <c r="IC118"/>
      <c r="ID118"/>
      <c r="IE118"/>
      <c r="IF118"/>
      <c r="IG118"/>
      <c r="IH118"/>
      <c r="II118"/>
      <c r="IJ118"/>
      <c r="IK118"/>
      <c r="IL118"/>
      <c r="IM118"/>
      <c r="IN118"/>
      <c r="IO118"/>
      <c r="IP118"/>
      <c r="IQ118"/>
      <c r="IR118"/>
      <c r="IS118"/>
      <c r="IT118"/>
      <c r="IU118"/>
      <c r="IV118"/>
    </row>
    <row r="119" spans="1:256" s="7" customFormat="1">
      <c r="A119" t="s">
        <v>164</v>
      </c>
      <c r="B119" s="51">
        <v>45260</v>
      </c>
      <c r="C119" s="8">
        <v>661.5</v>
      </c>
      <c r="D119">
        <f>41.01+9.59+2.31</f>
        <v>52.91</v>
      </c>
      <c r="E119"/>
      <c r="F119"/>
      <c r="G119"/>
      <c r="H119"/>
      <c r="I119" s="9">
        <f t="shared" si="6"/>
        <v>714.41</v>
      </c>
      <c r="J119" s="9">
        <f t="shared" si="8"/>
        <v>37814.625164979101</v>
      </c>
      <c r="K119" s="15">
        <f>SUM(I118:I119)</f>
        <v>1258.74</v>
      </c>
      <c r="L119" s="15">
        <f>37814.63-0</f>
        <v>37814.629999999997</v>
      </c>
      <c r="M119" s="52" t="s">
        <v>165</v>
      </c>
      <c r="N119"/>
      <c r="O119"/>
      <c r="P119"/>
      <c r="Q119"/>
      <c r="R119"/>
      <c r="S119"/>
      <c r="T119"/>
      <c r="U119"/>
      <c r="V119"/>
      <c r="W119"/>
      <c r="X119"/>
      <c r="Y119"/>
      <c r="Z119"/>
      <c r="AA119"/>
      <c r="AB119"/>
      <c r="AC119"/>
      <c r="AD119"/>
      <c r="AE119"/>
      <c r="AF119"/>
      <c r="AG119"/>
      <c r="AH119"/>
      <c r="AI119"/>
      <c r="AJ119"/>
      <c r="AK119"/>
      <c r="AL119"/>
      <c r="AM119"/>
      <c r="AN119"/>
      <c r="AO119"/>
      <c r="AP119"/>
      <c r="AQ119"/>
      <c r="AR119"/>
      <c r="AS119"/>
      <c r="AT119"/>
      <c r="AU119"/>
      <c r="AV119"/>
      <c r="AW119"/>
      <c r="AX119"/>
      <c r="AY119"/>
      <c r="AZ119"/>
      <c r="BA119"/>
      <c r="BB119"/>
      <c r="BC119"/>
      <c r="BD119"/>
      <c r="BE119"/>
      <c r="BF119"/>
      <c r="BG119"/>
      <c r="BH119"/>
      <c r="BI119"/>
      <c r="BJ119"/>
      <c r="BK119"/>
      <c r="BL119"/>
      <c r="BM119"/>
      <c r="BN119"/>
      <c r="BO119"/>
      <c r="BP119"/>
      <c r="BQ119"/>
      <c r="BR119"/>
      <c r="BS119"/>
      <c r="BT119"/>
      <c r="BU119"/>
      <c r="BV119"/>
      <c r="BW119"/>
      <c r="BX119"/>
      <c r="BY119"/>
      <c r="BZ119"/>
      <c r="CA119"/>
      <c r="CB119"/>
      <c r="CC119"/>
      <c r="CD119"/>
      <c r="CE119"/>
      <c r="CF119"/>
      <c r="CG119"/>
      <c r="CH119"/>
      <c r="CI119"/>
      <c r="CJ119"/>
      <c r="CK119"/>
      <c r="CL119"/>
      <c r="CM119"/>
      <c r="CN119"/>
      <c r="CO119"/>
      <c r="CP119"/>
      <c r="CQ119"/>
      <c r="CR119"/>
      <c r="CS119"/>
      <c r="CT119"/>
      <c r="CU119"/>
      <c r="CV119"/>
      <c r="CW119"/>
      <c r="CX119"/>
      <c r="CY119"/>
      <c r="CZ119"/>
      <c r="DA119"/>
      <c r="DB119"/>
      <c r="DC119"/>
      <c r="DD119"/>
      <c r="DE119"/>
      <c r="DF119"/>
      <c r="DG119"/>
      <c r="DH119"/>
      <c r="DI119"/>
      <c r="DJ119"/>
      <c r="DK119"/>
      <c r="DL119"/>
      <c r="DM119"/>
      <c r="DN119"/>
      <c r="DO119"/>
      <c r="DP119"/>
      <c r="DQ119"/>
      <c r="DR119"/>
      <c r="DS119"/>
      <c r="DT119"/>
      <c r="DU119"/>
      <c r="DV119"/>
      <c r="DW119"/>
      <c r="DX119"/>
      <c r="DY119"/>
      <c r="DZ119"/>
      <c r="EA119"/>
      <c r="EB119"/>
      <c r="EC119"/>
      <c r="ED119"/>
      <c r="EE119"/>
      <c r="EF119"/>
      <c r="EG119"/>
      <c r="EH119"/>
      <c r="EI119"/>
      <c r="EJ119"/>
      <c r="EK119"/>
      <c r="EL119"/>
      <c r="EM119"/>
      <c r="EN119"/>
      <c r="EO119"/>
      <c r="EP119"/>
      <c r="EQ119"/>
      <c r="ER119"/>
      <c r="ES119"/>
      <c r="ET119"/>
      <c r="EU119"/>
      <c r="EV119"/>
      <c r="EW119"/>
      <c r="EX119"/>
      <c r="EY119"/>
      <c r="EZ119"/>
      <c r="FA119"/>
      <c r="FB119"/>
      <c r="FC119"/>
      <c r="FD119"/>
      <c r="FE119"/>
      <c r="FF119"/>
      <c r="FG119"/>
      <c r="FH119"/>
      <c r="FI119"/>
      <c r="FJ119"/>
      <c r="FK119"/>
      <c r="FL119"/>
      <c r="FM119"/>
      <c r="FN119"/>
      <c r="FO119"/>
      <c r="FP119"/>
      <c r="FQ119"/>
      <c r="FR119"/>
      <c r="FS119"/>
      <c r="FT119"/>
      <c r="FU119"/>
      <c r="FV119"/>
      <c r="FW119"/>
      <c r="FX119"/>
      <c r="FY119"/>
      <c r="FZ119"/>
      <c r="GA119"/>
      <c r="GB119"/>
      <c r="GC119"/>
      <c r="GD119"/>
      <c r="GE119"/>
      <c r="GF119"/>
      <c r="GG119"/>
      <c r="GH119"/>
      <c r="GI119"/>
      <c r="GJ119"/>
      <c r="GK119"/>
      <c r="GL119"/>
      <c r="GM119"/>
      <c r="GN119"/>
      <c r="GO119"/>
      <c r="GP119"/>
      <c r="GQ119"/>
      <c r="GR119"/>
      <c r="GS119"/>
      <c r="GT119"/>
      <c r="GU119"/>
      <c r="GV119"/>
      <c r="GW119"/>
      <c r="GX119"/>
      <c r="GY119"/>
      <c r="GZ119"/>
      <c r="HA119"/>
      <c r="HB119"/>
      <c r="HC119"/>
      <c r="HD119"/>
      <c r="HE119"/>
      <c r="HF119"/>
      <c r="HG119"/>
      <c r="HH119"/>
      <c r="HI119"/>
      <c r="HJ119"/>
      <c r="HK119"/>
      <c r="HL119"/>
      <c r="HM119"/>
      <c r="HN119"/>
      <c r="HO119"/>
      <c r="HP119"/>
      <c r="HQ119"/>
      <c r="HR119"/>
      <c r="HS119"/>
      <c r="HT119"/>
      <c r="HU119"/>
      <c r="HV119"/>
      <c r="HW119"/>
      <c r="HX119"/>
      <c r="HY119"/>
      <c r="HZ119"/>
      <c r="IA119"/>
      <c r="IB119"/>
      <c r="IC119"/>
      <c r="ID119"/>
      <c r="IE119"/>
      <c r="IF119"/>
      <c r="IG119"/>
      <c r="IH119"/>
      <c r="II119"/>
      <c r="IJ119"/>
      <c r="IK119"/>
      <c r="IL119"/>
      <c r="IM119"/>
      <c r="IN119"/>
      <c r="IO119"/>
      <c r="IP119"/>
      <c r="IQ119"/>
      <c r="IR119"/>
      <c r="IS119"/>
      <c r="IT119"/>
      <c r="IU119"/>
      <c r="IV119"/>
    </row>
    <row r="120" spans="1:256" s="7" customFormat="1">
      <c r="A120" t="s">
        <v>166</v>
      </c>
      <c r="B120" s="51">
        <v>45291</v>
      </c>
      <c r="C120" s="8">
        <v>1344</v>
      </c>
      <c r="D120">
        <f>83.33+19.49+4.71</f>
        <v>107.52999999999999</v>
      </c>
      <c r="E120"/>
      <c r="F120"/>
      <c r="G120"/>
      <c r="H120"/>
      <c r="I120" s="9">
        <f t="shared" si="6"/>
        <v>1451.53</v>
      </c>
      <c r="J120" s="9">
        <f t="shared" si="8"/>
        <v>36363.095164979102</v>
      </c>
      <c r="K120" s="15"/>
      <c r="L120" s="15"/>
      <c r="M120" s="52"/>
      <c r="N120"/>
      <c r="O120"/>
      <c r="P120"/>
      <c r="Q120"/>
      <c r="R120"/>
      <c r="S120"/>
      <c r="T120"/>
      <c r="U120"/>
      <c r="V120"/>
      <c r="W120"/>
      <c r="X120"/>
      <c r="Y120"/>
      <c r="Z120"/>
      <c r="AA120"/>
      <c r="AB120"/>
      <c r="AC120"/>
      <c r="AD120"/>
      <c r="AE120"/>
      <c r="AF120"/>
      <c r="AG120"/>
      <c r="AH120"/>
      <c r="AI120"/>
      <c r="AJ120"/>
      <c r="AK120"/>
      <c r="AL120"/>
      <c r="AM120"/>
      <c r="AN120"/>
      <c r="AO120"/>
      <c r="AP120"/>
      <c r="AQ120"/>
      <c r="AR120"/>
      <c r="AS120"/>
      <c r="AT120"/>
      <c r="AU120"/>
      <c r="AV120"/>
      <c r="AW120"/>
      <c r="AX120"/>
      <c r="AY120"/>
      <c r="AZ120"/>
      <c r="BA120"/>
      <c r="BB120"/>
      <c r="BC120"/>
      <c r="BD120"/>
      <c r="BE120"/>
      <c r="BF120"/>
      <c r="BG120"/>
      <c r="BH120"/>
      <c r="BI120"/>
      <c r="BJ120"/>
      <c r="BK120"/>
      <c r="BL120"/>
      <c r="BM120"/>
      <c r="BN120"/>
      <c r="BO120"/>
      <c r="BP120"/>
      <c r="BQ120"/>
      <c r="BR120"/>
      <c r="BS120"/>
      <c r="BT120"/>
      <c r="BU120"/>
      <c r="BV120"/>
      <c r="BW120"/>
      <c r="BX120"/>
      <c r="BY120"/>
      <c r="BZ120"/>
      <c r="CA120"/>
      <c r="CB120"/>
      <c r="CC120"/>
      <c r="CD120"/>
      <c r="CE120"/>
      <c r="CF120"/>
      <c r="CG120"/>
      <c r="CH120"/>
      <c r="CI120"/>
      <c r="CJ120"/>
      <c r="CK120"/>
      <c r="CL120"/>
      <c r="CM120"/>
      <c r="CN120"/>
      <c r="CO120"/>
      <c r="CP120"/>
      <c r="CQ120"/>
      <c r="CR120"/>
      <c r="CS120"/>
      <c r="CT120"/>
      <c r="CU120"/>
      <c r="CV120"/>
      <c r="CW120"/>
      <c r="CX120"/>
      <c r="CY120"/>
      <c r="CZ120"/>
      <c r="DA120"/>
      <c r="DB120"/>
      <c r="DC120"/>
      <c r="DD120"/>
      <c r="DE120"/>
      <c r="DF120"/>
      <c r="DG120"/>
      <c r="DH120"/>
      <c r="DI120"/>
      <c r="DJ120"/>
      <c r="DK120"/>
      <c r="DL120"/>
      <c r="DM120"/>
      <c r="DN120"/>
      <c r="DO120"/>
      <c r="DP120"/>
      <c r="DQ120"/>
      <c r="DR120"/>
      <c r="DS120"/>
      <c r="DT120"/>
      <c r="DU120"/>
      <c r="DV120"/>
      <c r="DW120"/>
      <c r="DX120"/>
      <c r="DY120"/>
      <c r="DZ120"/>
      <c r="EA120"/>
      <c r="EB120"/>
      <c r="EC120"/>
      <c r="ED120"/>
      <c r="EE120"/>
      <c r="EF120"/>
      <c r="EG120"/>
      <c r="EH120"/>
      <c r="EI120"/>
      <c r="EJ120"/>
      <c r="EK120"/>
      <c r="EL120"/>
      <c r="EM120"/>
      <c r="EN120"/>
      <c r="EO120"/>
      <c r="EP120"/>
      <c r="EQ120"/>
      <c r="ER120"/>
      <c r="ES120"/>
      <c r="ET120"/>
      <c r="EU120"/>
      <c r="EV120"/>
      <c r="EW120"/>
      <c r="EX120"/>
      <c r="EY120"/>
      <c r="EZ120"/>
      <c r="FA120"/>
      <c r="FB120"/>
      <c r="FC120"/>
      <c r="FD120"/>
      <c r="FE120"/>
      <c r="FF120"/>
      <c r="FG120"/>
      <c r="FH120"/>
      <c r="FI120"/>
      <c r="FJ120"/>
      <c r="FK120"/>
      <c r="FL120"/>
      <c r="FM120"/>
      <c r="FN120"/>
      <c r="FO120"/>
      <c r="FP120"/>
      <c r="FQ120"/>
      <c r="FR120"/>
      <c r="FS120"/>
      <c r="FT120"/>
      <c r="FU120"/>
      <c r="FV120"/>
      <c r="FW120"/>
      <c r="FX120"/>
      <c r="FY120"/>
      <c r="FZ120"/>
      <c r="GA120"/>
      <c r="GB120"/>
      <c r="GC120"/>
      <c r="GD120"/>
      <c r="GE120"/>
      <c r="GF120"/>
      <c r="GG120"/>
      <c r="GH120"/>
      <c r="GI120"/>
      <c r="GJ120"/>
      <c r="GK120"/>
      <c r="GL120"/>
      <c r="GM120"/>
      <c r="GN120"/>
      <c r="GO120"/>
      <c r="GP120"/>
      <c r="GQ120"/>
      <c r="GR120"/>
      <c r="GS120"/>
      <c r="GT120"/>
      <c r="GU120"/>
      <c r="GV120"/>
      <c r="GW120"/>
      <c r="GX120"/>
      <c r="GY120"/>
      <c r="GZ120"/>
      <c r="HA120"/>
      <c r="HB120"/>
      <c r="HC120"/>
      <c r="HD120"/>
      <c r="HE120"/>
      <c r="HF120"/>
      <c r="HG120"/>
      <c r="HH120"/>
      <c r="HI120"/>
      <c r="HJ120"/>
      <c r="HK120"/>
      <c r="HL120"/>
      <c r="HM120"/>
      <c r="HN120"/>
      <c r="HO120"/>
      <c r="HP120"/>
      <c r="HQ120"/>
      <c r="HR120"/>
      <c r="HS120"/>
      <c r="HT120"/>
      <c r="HU120"/>
      <c r="HV120"/>
      <c r="HW120"/>
      <c r="HX120"/>
      <c r="HY120"/>
      <c r="HZ120"/>
      <c r="IA120"/>
      <c r="IB120"/>
      <c r="IC120"/>
      <c r="ID120"/>
      <c r="IE120"/>
      <c r="IF120"/>
      <c r="IG120"/>
      <c r="IH120"/>
      <c r="II120"/>
      <c r="IJ120"/>
      <c r="IK120"/>
      <c r="IL120"/>
      <c r="IM120"/>
      <c r="IN120"/>
      <c r="IO120"/>
      <c r="IP120"/>
      <c r="IQ120"/>
      <c r="IR120"/>
      <c r="IS120"/>
      <c r="IT120"/>
      <c r="IU120"/>
      <c r="IV120"/>
    </row>
    <row r="121" spans="1:256" s="7" customFormat="1">
      <c r="A121" t="s">
        <v>167</v>
      </c>
      <c r="B121" s="51">
        <v>45291</v>
      </c>
      <c r="C121" s="8">
        <v>672</v>
      </c>
      <c r="D121">
        <f>41.66+9.74+2.35</f>
        <v>53.75</v>
      </c>
      <c r="E121"/>
      <c r="F121"/>
      <c r="G121"/>
      <c r="H121"/>
      <c r="I121" s="9">
        <f t="shared" si="6"/>
        <v>725.75</v>
      </c>
      <c r="J121" s="9">
        <f t="shared" si="8"/>
        <v>35637.345164979102</v>
      </c>
      <c r="K121" s="15">
        <f>SUM(I120:I121)</f>
        <v>2177.2799999999997</v>
      </c>
      <c r="L121" s="15">
        <v>35637.345164979117</v>
      </c>
      <c r="M121" s="52" t="s">
        <v>168</v>
      </c>
      <c r="N121"/>
      <c r="O121"/>
      <c r="P121"/>
      <c r="Q121"/>
      <c r="R121"/>
      <c r="S121"/>
      <c r="T121"/>
      <c r="U121"/>
      <c r="V121"/>
      <c r="W121"/>
      <c r="X121"/>
      <c r="Y121"/>
      <c r="Z121"/>
      <c r="AA121"/>
      <c r="AB121"/>
      <c r="AC121"/>
      <c r="AD121"/>
      <c r="AE121"/>
      <c r="AF121"/>
      <c r="AG121"/>
      <c r="AH121"/>
      <c r="AI121"/>
      <c r="AJ121"/>
      <c r="AK121"/>
      <c r="AL121"/>
      <c r="AM121"/>
      <c r="AN121"/>
      <c r="AO121"/>
      <c r="AP121"/>
      <c r="AQ121"/>
      <c r="AR121"/>
      <c r="AS121"/>
      <c r="AT121"/>
      <c r="AU121"/>
      <c r="AV121"/>
      <c r="AW121"/>
      <c r="AX121"/>
      <c r="AY121"/>
      <c r="AZ121"/>
      <c r="BA121"/>
      <c r="BB121"/>
      <c r="BC121"/>
      <c r="BD121"/>
      <c r="BE121"/>
      <c r="BF121"/>
      <c r="BG121"/>
      <c r="BH121"/>
      <c r="BI121"/>
      <c r="BJ121"/>
      <c r="BK121"/>
      <c r="BL121"/>
      <c r="BM121"/>
      <c r="BN121"/>
      <c r="BO121"/>
      <c r="BP121"/>
      <c r="BQ121"/>
      <c r="BR121"/>
      <c r="BS121"/>
      <c r="BT121"/>
      <c r="BU121"/>
      <c r="BV121"/>
      <c r="BW121"/>
      <c r="BX121"/>
      <c r="BY121"/>
      <c r="BZ121"/>
      <c r="CA121"/>
      <c r="CB121"/>
      <c r="CC121"/>
      <c r="CD121"/>
      <c r="CE121"/>
      <c r="CF121"/>
      <c r="CG121"/>
      <c r="CH121"/>
      <c r="CI121"/>
      <c r="CJ121"/>
      <c r="CK121"/>
      <c r="CL121"/>
      <c r="CM121"/>
      <c r="CN121"/>
      <c r="CO121"/>
      <c r="CP121"/>
      <c r="CQ121"/>
      <c r="CR121"/>
      <c r="CS121"/>
      <c r="CT121"/>
      <c r="CU121"/>
      <c r="CV121"/>
      <c r="CW121"/>
      <c r="CX121"/>
      <c r="CY121"/>
      <c r="CZ121"/>
      <c r="DA121"/>
      <c r="DB121"/>
      <c r="DC121"/>
      <c r="DD121"/>
      <c r="DE121"/>
      <c r="DF121"/>
      <c r="DG121"/>
      <c r="DH121"/>
      <c r="DI121"/>
      <c r="DJ121"/>
      <c r="DK121"/>
      <c r="DL121"/>
      <c r="DM121"/>
      <c r="DN121"/>
      <c r="DO121"/>
      <c r="DP121"/>
      <c r="DQ121"/>
      <c r="DR121"/>
      <c r="DS121"/>
      <c r="DT121"/>
      <c r="DU121"/>
      <c r="DV121"/>
      <c r="DW121"/>
      <c r="DX121"/>
      <c r="DY121"/>
      <c r="DZ121"/>
      <c r="EA121"/>
      <c r="EB121"/>
      <c r="EC121"/>
      <c r="ED121"/>
      <c r="EE121"/>
      <c r="EF121"/>
      <c r="EG121"/>
      <c r="EH121"/>
      <c r="EI121"/>
      <c r="EJ121"/>
      <c r="EK121"/>
      <c r="EL121"/>
      <c r="EM121"/>
      <c r="EN121"/>
      <c r="EO121"/>
      <c r="EP121"/>
      <c r="EQ121"/>
      <c r="ER121"/>
      <c r="ES121"/>
      <c r="ET121"/>
      <c r="EU121"/>
      <c r="EV121"/>
      <c r="EW121"/>
      <c r="EX121"/>
      <c r="EY121"/>
      <c r="EZ121"/>
      <c r="FA121"/>
      <c r="FB121"/>
      <c r="FC121"/>
      <c r="FD121"/>
      <c r="FE121"/>
      <c r="FF121"/>
      <c r="FG121"/>
      <c r="FH121"/>
      <c r="FI121"/>
      <c r="FJ121"/>
      <c r="FK121"/>
      <c r="FL121"/>
      <c r="FM121"/>
      <c r="FN121"/>
      <c r="FO121"/>
      <c r="FP121"/>
      <c r="FQ121"/>
      <c r="FR121"/>
      <c r="FS121"/>
      <c r="FT121"/>
      <c r="FU121"/>
      <c r="FV121"/>
      <c r="FW121"/>
      <c r="FX121"/>
      <c r="FY121"/>
      <c r="FZ121"/>
      <c r="GA121"/>
      <c r="GB121"/>
      <c r="GC121"/>
      <c r="GD121"/>
      <c r="GE121"/>
      <c r="GF121"/>
      <c r="GG121"/>
      <c r="GH121"/>
      <c r="GI121"/>
      <c r="GJ121"/>
      <c r="GK121"/>
      <c r="GL121"/>
      <c r="GM121"/>
      <c r="GN121"/>
      <c r="GO121"/>
      <c r="GP121"/>
      <c r="GQ121"/>
      <c r="GR121"/>
      <c r="GS121"/>
      <c r="GT121"/>
      <c r="GU121"/>
      <c r="GV121"/>
      <c r="GW121"/>
      <c r="GX121"/>
      <c r="GY121"/>
      <c r="GZ121"/>
      <c r="HA121"/>
      <c r="HB121"/>
      <c r="HC121"/>
      <c r="HD121"/>
      <c r="HE121"/>
      <c r="HF121"/>
      <c r="HG121"/>
      <c r="HH121"/>
      <c r="HI121"/>
      <c r="HJ121"/>
      <c r="HK121"/>
      <c r="HL121"/>
      <c r="HM121"/>
      <c r="HN121"/>
      <c r="HO121"/>
      <c r="HP121"/>
      <c r="HQ121"/>
      <c r="HR121"/>
      <c r="HS121"/>
      <c r="HT121"/>
      <c r="HU121"/>
      <c r="HV121"/>
      <c r="HW121"/>
      <c r="HX121"/>
      <c r="HY121"/>
      <c r="HZ121"/>
      <c r="IA121"/>
      <c r="IB121"/>
      <c r="IC121"/>
      <c r="ID121"/>
      <c r="IE121"/>
      <c r="IF121"/>
      <c r="IG121"/>
      <c r="IH121"/>
      <c r="II121"/>
      <c r="IJ121"/>
      <c r="IK121"/>
      <c r="IL121"/>
      <c r="IM121"/>
      <c r="IN121"/>
      <c r="IO121"/>
      <c r="IP121"/>
      <c r="IQ121"/>
      <c r="IR121"/>
      <c r="IS121"/>
      <c r="IT121"/>
      <c r="IU121"/>
      <c r="IV121"/>
    </row>
    <row r="122" spans="1:256" s="7" customFormat="1">
      <c r="A122" t="s">
        <v>169</v>
      </c>
      <c r="B122" s="51">
        <v>45322</v>
      </c>
      <c r="C122" s="8">
        <v>840</v>
      </c>
      <c r="D122">
        <f>52.08+12.18+2.94</f>
        <v>67.199999999999989</v>
      </c>
      <c r="E122"/>
      <c r="F122"/>
      <c r="G122"/>
      <c r="H122"/>
      <c r="I122" s="9">
        <f t="shared" si="6"/>
        <v>907.2</v>
      </c>
      <c r="J122" s="9">
        <f t="shared" si="8"/>
        <v>34730.145164979105</v>
      </c>
      <c r="K122" s="15">
        <f>I122</f>
        <v>907.2</v>
      </c>
      <c r="L122" s="15">
        <f>34730.15-0</f>
        <v>34730.15</v>
      </c>
      <c r="M122" s="52" t="s">
        <v>170</v>
      </c>
      <c r="N122"/>
      <c r="O122"/>
      <c r="P122"/>
      <c r="Q122"/>
      <c r="R122"/>
      <c r="S122"/>
      <c r="T122"/>
      <c r="U122"/>
      <c r="V122"/>
      <c r="W122"/>
      <c r="X122"/>
      <c r="Y122"/>
      <c r="Z122"/>
      <c r="AA122"/>
      <c r="AB122"/>
      <c r="AC122"/>
      <c r="AD122"/>
      <c r="AE122"/>
      <c r="AF122"/>
      <c r="AG122"/>
      <c r="AH122"/>
      <c r="AI122"/>
      <c r="AJ122"/>
      <c r="AK122"/>
      <c r="AL122"/>
      <c r="AM122"/>
      <c r="AN122"/>
      <c r="AO122"/>
      <c r="AP122"/>
      <c r="AQ122"/>
      <c r="AR122"/>
      <c r="AS122"/>
      <c r="AT122"/>
      <c r="AU122"/>
      <c r="AV122"/>
      <c r="AW122"/>
      <c r="AX122"/>
      <c r="AY122"/>
      <c r="AZ122"/>
      <c r="BA122"/>
      <c r="BB122"/>
      <c r="BC122"/>
      <c r="BD122"/>
      <c r="BE122"/>
      <c r="BF122"/>
      <c r="BG122"/>
      <c r="BH122"/>
      <c r="BI122"/>
      <c r="BJ122"/>
      <c r="BK122"/>
      <c r="BL122"/>
      <c r="BM122"/>
      <c r="BN122"/>
      <c r="BO122"/>
      <c r="BP122"/>
      <c r="BQ122"/>
      <c r="BR122"/>
      <c r="BS122"/>
      <c r="BT122"/>
      <c r="BU122"/>
      <c r="BV122"/>
      <c r="BW122"/>
      <c r="BX122"/>
      <c r="BY122"/>
      <c r="BZ122"/>
      <c r="CA122"/>
      <c r="CB122"/>
      <c r="CC122"/>
      <c r="CD122"/>
      <c r="CE122"/>
      <c r="CF122"/>
      <c r="CG122"/>
      <c r="CH122"/>
      <c r="CI122"/>
      <c r="CJ122"/>
      <c r="CK122"/>
      <c r="CL122"/>
      <c r="CM122"/>
      <c r="CN122"/>
      <c r="CO122"/>
      <c r="CP122"/>
      <c r="CQ122"/>
      <c r="CR122"/>
      <c r="CS122"/>
      <c r="CT122"/>
      <c r="CU122"/>
      <c r="CV122"/>
      <c r="CW122"/>
      <c r="CX122"/>
      <c r="CY122"/>
      <c r="CZ122"/>
      <c r="DA122"/>
      <c r="DB122"/>
      <c r="DC122"/>
      <c r="DD122"/>
      <c r="DE122"/>
      <c r="DF122"/>
      <c r="DG122"/>
      <c r="DH122"/>
      <c r="DI122"/>
      <c r="DJ122"/>
      <c r="DK122"/>
      <c r="DL122"/>
      <c r="DM122"/>
      <c r="DN122"/>
      <c r="DO122"/>
      <c r="DP122"/>
      <c r="DQ122"/>
      <c r="DR122"/>
      <c r="DS122"/>
      <c r="DT122"/>
      <c r="DU122"/>
      <c r="DV122"/>
      <c r="DW122"/>
      <c r="DX122"/>
      <c r="DY122"/>
      <c r="DZ122"/>
      <c r="EA122"/>
      <c r="EB122"/>
      <c r="EC122"/>
      <c r="ED122"/>
      <c r="EE122"/>
      <c r="EF122"/>
      <c r="EG122"/>
      <c r="EH122"/>
      <c r="EI122"/>
      <c r="EJ122"/>
      <c r="EK122"/>
      <c r="EL122"/>
      <c r="EM122"/>
      <c r="EN122"/>
      <c r="EO122"/>
      <c r="EP122"/>
      <c r="EQ122"/>
      <c r="ER122"/>
      <c r="ES122"/>
      <c r="ET122"/>
      <c r="EU122"/>
      <c r="EV122"/>
      <c r="EW122"/>
      <c r="EX122"/>
      <c r="EY122"/>
      <c r="EZ122"/>
      <c r="FA122"/>
      <c r="FB122"/>
      <c r="FC122"/>
      <c r="FD122"/>
      <c r="FE122"/>
      <c r="FF122"/>
      <c r="FG122"/>
      <c r="FH122"/>
      <c r="FI122"/>
      <c r="FJ122"/>
      <c r="FK122"/>
      <c r="FL122"/>
      <c r="FM122"/>
      <c r="FN122"/>
      <c r="FO122"/>
      <c r="FP122"/>
      <c r="FQ122"/>
      <c r="FR122"/>
      <c r="FS122"/>
      <c r="FT122"/>
      <c r="FU122"/>
      <c r="FV122"/>
      <c r="FW122"/>
      <c r="FX122"/>
      <c r="FY122"/>
      <c r="FZ122"/>
      <c r="GA122"/>
      <c r="GB122"/>
      <c r="GC122"/>
      <c r="GD122"/>
      <c r="GE122"/>
      <c r="GF122"/>
      <c r="GG122"/>
      <c r="GH122"/>
      <c r="GI122"/>
      <c r="GJ122"/>
      <c r="GK122"/>
      <c r="GL122"/>
      <c r="GM122"/>
      <c r="GN122"/>
      <c r="GO122"/>
      <c r="GP122"/>
      <c r="GQ122"/>
      <c r="GR122"/>
      <c r="GS122"/>
      <c r="GT122"/>
      <c r="GU122"/>
      <c r="GV122"/>
      <c r="GW122"/>
      <c r="GX122"/>
      <c r="GY122"/>
      <c r="GZ122"/>
      <c r="HA122"/>
      <c r="HB122"/>
      <c r="HC122"/>
      <c r="HD122"/>
      <c r="HE122"/>
      <c r="HF122"/>
      <c r="HG122"/>
      <c r="HH122"/>
      <c r="HI122"/>
      <c r="HJ122"/>
      <c r="HK122"/>
      <c r="HL122"/>
      <c r="HM122"/>
      <c r="HN122"/>
      <c r="HO122"/>
      <c r="HP122"/>
      <c r="HQ122"/>
      <c r="HR122"/>
      <c r="HS122"/>
      <c r="HT122"/>
      <c r="HU122"/>
      <c r="HV122"/>
      <c r="HW122"/>
      <c r="HX122"/>
      <c r="HY122"/>
      <c r="HZ122"/>
      <c r="IA122"/>
      <c r="IB122"/>
      <c r="IC122"/>
      <c r="ID122"/>
      <c r="IE122"/>
      <c r="IF122"/>
      <c r="IG122"/>
      <c r="IH122"/>
      <c r="II122"/>
      <c r="IJ122"/>
      <c r="IK122"/>
      <c r="IL122"/>
      <c r="IM122"/>
      <c r="IN122"/>
      <c r="IO122"/>
      <c r="IP122"/>
      <c r="IQ122"/>
      <c r="IR122"/>
      <c r="IS122"/>
      <c r="IT122"/>
      <c r="IU122"/>
      <c r="IV122"/>
    </row>
    <row r="123" spans="1:256" s="7" customFormat="1">
      <c r="A123"/>
      <c r="B123" s="51"/>
      <c r="C123" s="8"/>
      <c r="D123" s="8"/>
      <c r="E123"/>
      <c r="F123" s="9"/>
      <c r="G123" s="9"/>
      <c r="H123" s="8"/>
      <c r="I123" s="9"/>
      <c r="J123" s="9"/>
      <c r="K123" s="15"/>
      <c r="L123" s="15"/>
      <c r="M123" s="16"/>
    </row>
    <row r="124" spans="1:256">
      <c r="A124" t="s">
        <v>171</v>
      </c>
      <c r="B124" s="2"/>
      <c r="C124" s="3">
        <f t="shared" ref="C124:H124" si="9">SUM(C7:C123)</f>
        <v>65181.289999999994</v>
      </c>
      <c r="D124" s="3">
        <f t="shared" si="9"/>
        <v>3935.0148350209265</v>
      </c>
      <c r="E124" s="3">
        <f t="shared" si="9"/>
        <v>264.13</v>
      </c>
      <c r="F124" s="3">
        <f t="shared" si="9"/>
        <v>7603.4199999999992</v>
      </c>
      <c r="G124" s="3">
        <f t="shared" si="9"/>
        <v>1352</v>
      </c>
      <c r="H124" s="3">
        <f t="shared" si="9"/>
        <v>113066</v>
      </c>
      <c r="I124" s="9">
        <f>SUM(C124:G124)</f>
        <v>78335.854835020917</v>
      </c>
      <c r="J124" s="9">
        <f>J123+H124-I124</f>
        <v>34730.145164979083</v>
      </c>
    </row>
    <row r="125" spans="1:256">
      <c r="B125" s="2"/>
      <c r="J125" s="5"/>
    </row>
    <row r="126" spans="1:256" ht="46.5" customHeight="1">
      <c r="A126" s="63" t="s">
        <v>172</v>
      </c>
      <c r="B126" s="64"/>
      <c r="C126" s="64"/>
      <c r="D126" s="64"/>
      <c r="E126" s="64"/>
      <c r="F126" s="64"/>
      <c r="G126" s="64"/>
      <c r="H126" s="64"/>
      <c r="I126" s="64"/>
      <c r="J126" s="64"/>
    </row>
    <row r="127" spans="1:256" ht="23.25">
      <c r="A127" s="65" t="s">
        <v>173</v>
      </c>
      <c r="B127" s="66"/>
      <c r="C127" s="66"/>
      <c r="D127" s="66"/>
      <c r="E127" s="66"/>
      <c r="F127" s="66"/>
      <c r="G127" s="66"/>
      <c r="H127" s="66"/>
      <c r="I127" s="66"/>
      <c r="J127" s="66"/>
    </row>
    <row r="128" spans="1:256" ht="23.25">
      <c r="A128" s="67" t="s">
        <v>174</v>
      </c>
      <c r="B128" s="68"/>
      <c r="C128" s="68"/>
      <c r="D128" s="68"/>
      <c r="E128" s="68"/>
      <c r="F128" s="68"/>
      <c r="G128" s="68"/>
      <c r="H128" s="68"/>
      <c r="I128" s="68"/>
      <c r="J128" s="68"/>
    </row>
    <row r="129" spans="13:13">
      <c r="M129" s="19"/>
    </row>
    <row r="130" spans="13:13">
      <c r="M130" s="19"/>
    </row>
    <row r="131" spans="13:13">
      <c r="M131" s="19"/>
    </row>
    <row r="132" spans="13:13">
      <c r="M132" s="19"/>
    </row>
    <row r="133" spans="13:13">
      <c r="M133" s="19"/>
    </row>
    <row r="134" spans="13:13">
      <c r="M134" s="19"/>
    </row>
    <row r="135" spans="13:13">
      <c r="M135" s="19"/>
    </row>
    <row r="136" spans="13:13">
      <c r="M136" s="19"/>
    </row>
    <row r="137" spans="13:13">
      <c r="M137" s="19"/>
    </row>
    <row r="138" spans="13:13">
      <c r="M138" s="19"/>
    </row>
    <row r="139" spans="13:13">
      <c r="M139" s="19"/>
    </row>
    <row r="140" spans="13:13">
      <c r="M140" s="19"/>
    </row>
    <row r="141" spans="13:13">
      <c r="M141" s="19"/>
    </row>
    <row r="142" spans="13:13">
      <c r="M142" s="19"/>
    </row>
    <row r="143" spans="13:13">
      <c r="M143" s="19"/>
    </row>
    <row r="144" spans="13:13">
      <c r="M144" s="19"/>
    </row>
    <row r="145" spans="13:13">
      <c r="M145" s="19"/>
    </row>
    <row r="146" spans="13:13">
      <c r="M146" s="19"/>
    </row>
    <row r="147" spans="13:13">
      <c r="M147" s="19"/>
    </row>
    <row r="148" spans="13:13">
      <c r="M148" s="19"/>
    </row>
    <row r="149" spans="13:13">
      <c r="M149" s="19"/>
    </row>
    <row r="152" spans="13:13">
      <c r="M152" s="7"/>
    </row>
    <row r="154" spans="13:13">
      <c r="M154" s="20"/>
    </row>
    <row r="159" spans="13:13">
      <c r="M159" s="20"/>
    </row>
    <row r="160" spans="13:13">
      <c r="M160" s="20"/>
    </row>
    <row r="161" spans="13:13">
      <c r="M161" s="20"/>
    </row>
  </sheetData>
  <mergeCells count="4">
    <mergeCell ref="A5:J5"/>
    <mergeCell ref="A126:J126"/>
    <mergeCell ref="A127:J127"/>
    <mergeCell ref="A128:J128"/>
  </mergeCells>
  <phoneticPr fontId="0" type="noConversion"/>
  <printOptions horizontalCentered="1" gridLines="1"/>
  <pageMargins left="0.25" right="0.25" top="0.5" bottom="0.5" header="0.25" footer="0.25"/>
  <pageSetup scale="61" fitToHeight="8" orientation="landscape" r:id="rId1"/>
  <headerFooter alignWithMargins="0">
    <oddFooter>&amp;L&amp;D&amp;R&amp;P</oddFooter>
  </headerFooter>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C6C0A8-EF6A-4CDD-B56D-41887A68CAA0}">
  <dimension ref="A1:H165"/>
  <sheetViews>
    <sheetView topLeftCell="A86" workbookViewId="0">
      <selection sqref="A1:A165"/>
    </sheetView>
  </sheetViews>
  <sheetFormatPr defaultColWidth="6.88671875" defaultRowHeight="15"/>
  <cols>
    <col min="2" max="2" width="20" customWidth="1"/>
    <col min="3" max="3" width="24.44140625" customWidth="1"/>
    <col min="4" max="4" width="20.5546875" customWidth="1"/>
    <col min="5" max="7" width="20" customWidth="1"/>
    <col min="8" max="8" width="45.109375" customWidth="1"/>
  </cols>
  <sheetData>
    <row r="1" spans="1:8" ht="72" customHeight="1">
      <c r="A1" s="75"/>
      <c r="B1" s="105"/>
      <c r="C1" s="105"/>
      <c r="D1" s="105"/>
      <c r="E1" s="105"/>
      <c r="F1" s="105"/>
      <c r="G1" s="105"/>
      <c r="H1" s="22"/>
    </row>
    <row r="2" spans="1:8" ht="26.25">
      <c r="A2" s="75"/>
      <c r="B2" s="106" t="s">
        <v>175</v>
      </c>
      <c r="C2" s="106"/>
      <c r="D2" s="106"/>
      <c r="E2" s="106"/>
      <c r="F2" s="106"/>
      <c r="G2" s="106"/>
      <c r="H2" s="23"/>
    </row>
    <row r="3" spans="1:8" ht="16.5" thickBot="1">
      <c r="A3" s="75"/>
      <c r="B3" s="23"/>
      <c r="C3" s="23"/>
      <c r="D3" s="23"/>
      <c r="E3" s="23"/>
      <c r="F3" s="23"/>
      <c r="G3" s="23"/>
      <c r="H3" s="23"/>
    </row>
    <row r="4" spans="1:8" ht="15.75">
      <c r="A4" s="75"/>
      <c r="B4" s="107" t="s">
        <v>176</v>
      </c>
      <c r="C4" s="108"/>
      <c r="D4" s="108"/>
      <c r="E4" s="108"/>
      <c r="F4" s="108"/>
      <c r="G4" s="109"/>
      <c r="H4" s="23"/>
    </row>
    <row r="5" spans="1:8" ht="15.75">
      <c r="A5" s="75"/>
      <c r="B5" s="110"/>
      <c r="C5" s="111"/>
      <c r="D5" s="111"/>
      <c r="E5" s="111"/>
      <c r="F5" s="111"/>
      <c r="G5" s="112"/>
      <c r="H5" s="23"/>
    </row>
    <row r="6" spans="1:8" ht="15.75">
      <c r="A6" s="75"/>
      <c r="B6" s="110"/>
      <c r="C6" s="111"/>
      <c r="D6" s="111"/>
      <c r="E6" s="111"/>
      <c r="F6" s="111"/>
      <c r="G6" s="112"/>
      <c r="H6" s="23"/>
    </row>
    <row r="7" spans="1:8" ht="15.75">
      <c r="A7" s="75"/>
      <c r="B7" s="110"/>
      <c r="C7" s="111"/>
      <c r="D7" s="111"/>
      <c r="E7" s="111"/>
      <c r="F7" s="111"/>
      <c r="G7" s="112"/>
      <c r="H7" s="23"/>
    </row>
    <row r="8" spans="1:8" ht="15.75">
      <c r="A8" s="75"/>
      <c r="B8" s="110"/>
      <c r="C8" s="111"/>
      <c r="D8" s="111"/>
      <c r="E8" s="111"/>
      <c r="F8" s="111"/>
      <c r="G8" s="112"/>
      <c r="H8" s="23"/>
    </row>
    <row r="9" spans="1:8" ht="15.75">
      <c r="A9" s="75"/>
      <c r="B9" s="110"/>
      <c r="C9" s="111"/>
      <c r="D9" s="111"/>
      <c r="E9" s="111"/>
      <c r="F9" s="111"/>
      <c r="G9" s="112"/>
      <c r="H9" s="23"/>
    </row>
    <row r="10" spans="1:8" ht="16.5" thickBot="1">
      <c r="A10" s="75"/>
      <c r="B10" s="113"/>
      <c r="C10" s="114"/>
      <c r="D10" s="114"/>
      <c r="E10" s="114"/>
      <c r="F10" s="114"/>
      <c r="G10" s="115"/>
      <c r="H10" s="23"/>
    </row>
    <row r="11" spans="1:8" ht="26.25">
      <c r="A11" s="75"/>
      <c r="B11" s="116" t="s">
        <v>177</v>
      </c>
      <c r="C11" s="116"/>
      <c r="D11" s="116"/>
      <c r="E11" s="116"/>
      <c r="F11" s="116"/>
      <c r="G11" s="116"/>
      <c r="H11" s="116"/>
    </row>
    <row r="12" spans="1:8" ht="27" thickBot="1">
      <c r="A12" s="75"/>
      <c r="B12" s="24"/>
      <c r="C12" s="24"/>
      <c r="D12" s="25"/>
      <c r="E12" s="25"/>
      <c r="F12" s="25"/>
      <c r="G12" s="25"/>
      <c r="H12" s="24"/>
    </row>
    <row r="13" spans="1:8" ht="16.5" thickBot="1">
      <c r="A13" s="75"/>
      <c r="B13" s="117" t="s">
        <v>178</v>
      </c>
      <c r="C13" s="118"/>
      <c r="D13" s="119" t="s">
        <v>179</v>
      </c>
      <c r="E13" s="120"/>
      <c r="F13" s="120"/>
      <c r="G13" s="121"/>
      <c r="H13" s="26"/>
    </row>
    <row r="14" spans="1:8" ht="16.5" thickBot="1">
      <c r="A14" s="75"/>
      <c r="B14" s="117" t="s">
        <v>180</v>
      </c>
      <c r="C14" s="118"/>
      <c r="D14" s="27"/>
      <c r="E14" s="28"/>
      <c r="F14" s="29"/>
      <c r="G14" s="29"/>
      <c r="H14" s="23"/>
    </row>
    <row r="15" spans="1:8" ht="16.5" thickBot="1">
      <c r="A15" s="75"/>
      <c r="B15" s="117" t="s">
        <v>181</v>
      </c>
      <c r="C15" s="118"/>
      <c r="D15" s="48" t="s">
        <v>182</v>
      </c>
      <c r="E15" s="30" t="s">
        <v>183</v>
      </c>
      <c r="F15" s="23"/>
    </row>
    <row r="16" spans="1:8" ht="16.5" customHeight="1">
      <c r="A16" s="75"/>
      <c r="B16" s="122"/>
      <c r="C16" s="122"/>
      <c r="D16" s="101"/>
      <c r="E16" s="101"/>
      <c r="F16" s="31"/>
      <c r="G16" s="31"/>
      <c r="H16" s="23"/>
    </row>
    <row r="17" spans="1:8" ht="15.75">
      <c r="A17" s="75"/>
      <c r="B17" s="122"/>
      <c r="C17" s="122"/>
      <c r="D17" s="101"/>
      <c r="E17" s="101"/>
      <c r="F17" s="31"/>
      <c r="G17" s="31"/>
      <c r="H17" s="23"/>
    </row>
    <row r="18" spans="1:8" ht="15.75">
      <c r="A18" s="75"/>
      <c r="B18" s="32"/>
      <c r="C18" s="32"/>
      <c r="D18" s="31"/>
      <c r="E18" s="31"/>
      <c r="F18" s="31"/>
      <c r="G18" s="31"/>
      <c r="H18" s="23"/>
    </row>
    <row r="19" spans="1:8" ht="15.75">
      <c r="A19" s="75"/>
      <c r="B19" s="23"/>
      <c r="C19" s="23"/>
      <c r="D19" s="23"/>
      <c r="E19" s="23"/>
      <c r="F19" s="23"/>
      <c r="G19" s="23"/>
      <c r="H19" s="23"/>
    </row>
    <row r="20" spans="1:8" ht="26.25">
      <c r="A20" s="75"/>
      <c r="B20" s="102" t="s">
        <v>184</v>
      </c>
      <c r="C20" s="102"/>
      <c r="D20" s="102"/>
      <c r="E20" s="102"/>
      <c r="F20" s="102"/>
      <c r="G20" s="102"/>
      <c r="H20" s="102"/>
    </row>
    <row r="21" spans="1:8" ht="15.75">
      <c r="A21" s="75"/>
      <c r="B21" s="103" t="s">
        <v>185</v>
      </c>
      <c r="C21" s="103"/>
      <c r="D21" s="103"/>
      <c r="E21" s="103"/>
      <c r="F21" s="103"/>
      <c r="G21" s="103"/>
      <c r="H21" s="23"/>
    </row>
    <row r="22" spans="1:8" ht="15.75">
      <c r="A22" s="75"/>
      <c r="B22" s="23"/>
      <c r="C22" s="23"/>
      <c r="D22" s="23"/>
      <c r="E22" s="23"/>
      <c r="F22" s="23"/>
      <c r="G22" s="23"/>
      <c r="H22" s="23"/>
    </row>
    <row r="23" spans="1:8" ht="21">
      <c r="A23" s="75"/>
      <c r="B23" s="33" t="s">
        <v>186</v>
      </c>
      <c r="C23" s="23"/>
      <c r="D23" s="23"/>
      <c r="E23" s="23"/>
      <c r="F23" s="23"/>
      <c r="G23" s="23"/>
      <c r="H23" s="23"/>
    </row>
    <row r="24" spans="1:8" ht="15.75">
      <c r="A24" s="75"/>
      <c r="B24" s="93" t="s">
        <v>187</v>
      </c>
      <c r="C24" s="93"/>
      <c r="D24" s="93"/>
      <c r="E24" s="93"/>
      <c r="F24" s="93"/>
      <c r="G24" s="93"/>
      <c r="H24" s="23"/>
    </row>
    <row r="25" spans="1:8" ht="16.5" customHeight="1">
      <c r="A25" s="75"/>
      <c r="B25" s="23"/>
      <c r="C25" s="23"/>
      <c r="D25" s="23"/>
      <c r="E25" s="23"/>
      <c r="F25" s="23"/>
      <c r="G25" s="23"/>
      <c r="H25" s="23"/>
    </row>
    <row r="26" spans="1:8" ht="18.75">
      <c r="A26" s="75"/>
      <c r="B26" s="104" t="s">
        <v>188</v>
      </c>
      <c r="C26" s="104"/>
      <c r="D26" s="104" t="s">
        <v>189</v>
      </c>
      <c r="E26" s="104"/>
      <c r="F26" s="104" t="s">
        <v>190</v>
      </c>
      <c r="G26" s="104"/>
      <c r="H26" s="23"/>
    </row>
    <row r="27" spans="1:8" ht="15.75">
      <c r="A27" s="75"/>
      <c r="B27" s="95" t="s">
        <v>191</v>
      </c>
      <c r="C27" s="96"/>
      <c r="D27" s="95" t="s">
        <v>192</v>
      </c>
      <c r="E27" s="96"/>
      <c r="F27" s="99"/>
      <c r="G27" s="100"/>
      <c r="H27" s="34"/>
    </row>
    <row r="28" spans="1:8" ht="16.5" customHeight="1">
      <c r="A28" s="75"/>
      <c r="B28" s="95" t="s">
        <v>193</v>
      </c>
      <c r="C28" s="96"/>
      <c r="D28" s="95" t="s">
        <v>192</v>
      </c>
      <c r="E28" s="96"/>
      <c r="F28" s="99"/>
      <c r="G28" s="100"/>
      <c r="H28" s="34"/>
    </row>
    <row r="29" spans="1:8" ht="15.75">
      <c r="A29" s="75"/>
      <c r="B29" s="95" t="s">
        <v>194</v>
      </c>
      <c r="C29" s="96"/>
      <c r="D29" s="95" t="s">
        <v>195</v>
      </c>
      <c r="E29" s="96"/>
      <c r="F29" s="99" t="s">
        <v>196</v>
      </c>
      <c r="G29" s="100"/>
      <c r="H29" s="34"/>
    </row>
    <row r="30" spans="1:8" ht="15.75">
      <c r="A30" s="75"/>
      <c r="B30" s="49" t="s">
        <v>197</v>
      </c>
      <c r="C30" s="50"/>
      <c r="D30" s="95" t="s">
        <v>195</v>
      </c>
      <c r="E30" s="96"/>
      <c r="F30" s="97" t="s">
        <v>196</v>
      </c>
      <c r="G30" s="98"/>
      <c r="H30" s="34"/>
    </row>
    <row r="31" spans="1:8" ht="16.5" customHeight="1">
      <c r="A31" s="75"/>
      <c r="B31" s="49" t="s">
        <v>198</v>
      </c>
      <c r="C31" s="50"/>
      <c r="D31" s="95" t="s">
        <v>195</v>
      </c>
      <c r="E31" s="96"/>
      <c r="F31" s="99" t="s">
        <v>196</v>
      </c>
      <c r="G31" s="100"/>
      <c r="H31" s="34"/>
    </row>
    <row r="32" spans="1:8" ht="15.75">
      <c r="A32" s="75"/>
      <c r="B32" s="49" t="s">
        <v>199</v>
      </c>
      <c r="C32" s="50"/>
      <c r="D32" s="95" t="s">
        <v>195</v>
      </c>
      <c r="E32" s="96"/>
      <c r="F32" s="97" t="s">
        <v>196</v>
      </c>
      <c r="G32" s="98"/>
      <c r="H32" s="34"/>
    </row>
    <row r="33" spans="1:8" ht="15.75">
      <c r="A33" s="75"/>
      <c r="B33" s="49" t="s">
        <v>200</v>
      </c>
      <c r="C33" s="50"/>
      <c r="D33" s="95" t="s">
        <v>201</v>
      </c>
      <c r="E33" s="96"/>
      <c r="F33" s="99" t="s">
        <v>202</v>
      </c>
      <c r="G33" s="100"/>
      <c r="H33" s="34"/>
    </row>
    <row r="34" spans="1:8" ht="15.75">
      <c r="A34" s="75"/>
      <c r="B34" s="95" t="s">
        <v>203</v>
      </c>
      <c r="C34" s="96"/>
      <c r="D34" s="97" t="s">
        <v>204</v>
      </c>
      <c r="E34" s="98"/>
      <c r="F34" s="99" t="s">
        <v>205</v>
      </c>
      <c r="G34" s="100"/>
      <c r="H34" s="34"/>
    </row>
    <row r="35" spans="1:8" ht="15.75">
      <c r="A35" s="75"/>
      <c r="B35" s="95"/>
      <c r="C35" s="96"/>
      <c r="D35" s="97"/>
      <c r="E35" s="98"/>
      <c r="F35" s="97"/>
      <c r="G35" s="98"/>
      <c r="H35" s="34"/>
    </row>
    <row r="36" spans="1:8" ht="15.75">
      <c r="A36" s="75"/>
      <c r="B36" s="95"/>
      <c r="C36" s="96"/>
      <c r="D36" s="97"/>
      <c r="E36" s="98"/>
      <c r="F36" s="97"/>
      <c r="G36" s="98"/>
      <c r="H36" s="34"/>
    </row>
    <row r="37" spans="1:8" ht="15.75">
      <c r="A37" s="75"/>
      <c r="B37" s="89"/>
      <c r="C37" s="90"/>
      <c r="D37" s="91"/>
      <c r="E37" s="92"/>
      <c r="F37" s="91"/>
      <c r="G37" s="92"/>
      <c r="H37" s="34"/>
    </row>
    <row r="38" spans="1:8" ht="15.75">
      <c r="A38" s="75"/>
      <c r="B38" s="35"/>
      <c r="C38" s="35"/>
      <c r="D38" s="35"/>
      <c r="E38" s="35"/>
      <c r="F38" s="35"/>
      <c r="G38" s="35"/>
      <c r="H38" s="23"/>
    </row>
    <row r="39" spans="1:8" ht="21">
      <c r="A39" s="75"/>
      <c r="B39" s="33" t="s">
        <v>206</v>
      </c>
      <c r="C39" s="23"/>
      <c r="D39" s="23"/>
      <c r="E39" s="23"/>
      <c r="F39" s="23"/>
      <c r="G39" s="23"/>
      <c r="H39" s="23"/>
    </row>
    <row r="40" spans="1:8" ht="15.75">
      <c r="A40" s="75"/>
      <c r="B40" s="93" t="s">
        <v>207</v>
      </c>
      <c r="C40" s="93"/>
      <c r="D40" s="93"/>
      <c r="E40" s="93"/>
      <c r="F40" s="93"/>
      <c r="G40" s="93"/>
      <c r="H40" s="23"/>
    </row>
    <row r="41" spans="1:8" ht="15.75">
      <c r="A41" s="75"/>
      <c r="B41" s="23"/>
      <c r="C41" s="23"/>
      <c r="D41" s="23"/>
      <c r="E41" s="23"/>
      <c r="F41" s="23"/>
      <c r="G41" s="23"/>
      <c r="H41" s="23"/>
    </row>
    <row r="42" spans="1:8" ht="21">
      <c r="A42" s="75"/>
      <c r="B42" s="94" t="s">
        <v>208</v>
      </c>
      <c r="C42" s="94"/>
      <c r="D42" s="36" t="s">
        <v>209</v>
      </c>
      <c r="E42" s="36" t="s">
        <v>210</v>
      </c>
      <c r="F42" s="94" t="s">
        <v>211</v>
      </c>
      <c r="G42" s="94"/>
      <c r="H42" s="23"/>
    </row>
    <row r="43" spans="1:8" ht="18.75">
      <c r="A43" s="75"/>
      <c r="B43" s="37"/>
      <c r="C43" s="37"/>
      <c r="D43" s="37"/>
      <c r="E43" s="37"/>
      <c r="F43" s="37"/>
      <c r="G43" s="37"/>
      <c r="H43" s="23"/>
    </row>
    <row r="44" spans="1:8" ht="18.75">
      <c r="A44" s="75"/>
      <c r="B44" s="82" t="s">
        <v>212</v>
      </c>
      <c r="C44" s="82"/>
      <c r="D44" s="82"/>
      <c r="E44" s="82"/>
      <c r="F44" s="82"/>
      <c r="G44" s="82"/>
      <c r="H44" s="23"/>
    </row>
    <row r="45" spans="1:8" ht="15.75">
      <c r="A45" s="75"/>
      <c r="B45" s="83" t="s">
        <v>213</v>
      </c>
      <c r="C45" s="84"/>
      <c r="D45" s="38">
        <v>140</v>
      </c>
      <c r="E45" s="39">
        <v>4</v>
      </c>
      <c r="F45" s="78">
        <f t="shared" ref="F45:F54" si="0">D45*E45</f>
        <v>560</v>
      </c>
      <c r="G45" s="79"/>
      <c r="H45" s="34"/>
    </row>
    <row r="46" spans="1:8" ht="15.75">
      <c r="A46" s="75"/>
      <c r="B46" s="83" t="s">
        <v>214</v>
      </c>
      <c r="C46" s="84"/>
      <c r="D46" s="38">
        <v>100</v>
      </c>
      <c r="E46" s="39">
        <v>4</v>
      </c>
      <c r="F46" s="78">
        <f t="shared" si="0"/>
        <v>400</v>
      </c>
      <c r="G46" s="79"/>
      <c r="H46" s="34"/>
    </row>
    <row r="47" spans="1:8" ht="15.75">
      <c r="A47" s="75"/>
      <c r="B47" s="83" t="s">
        <v>215</v>
      </c>
      <c r="C47" s="84"/>
      <c r="D47" s="38">
        <v>12</v>
      </c>
      <c r="E47" s="39">
        <v>8</v>
      </c>
      <c r="F47" s="78">
        <f t="shared" si="0"/>
        <v>96</v>
      </c>
      <c r="G47" s="79"/>
      <c r="H47" s="34"/>
    </row>
    <row r="48" spans="1:8" ht="15.75">
      <c r="A48" s="75"/>
      <c r="B48" s="83" t="s">
        <v>216</v>
      </c>
      <c r="C48" s="84"/>
      <c r="D48" s="38">
        <v>140</v>
      </c>
      <c r="E48" s="39">
        <v>2</v>
      </c>
      <c r="F48" s="78">
        <f t="shared" si="0"/>
        <v>280</v>
      </c>
      <c r="G48" s="79"/>
      <c r="H48" s="34"/>
    </row>
    <row r="49" spans="1:8" ht="15.75">
      <c r="A49" s="75"/>
      <c r="B49" s="83" t="s">
        <v>217</v>
      </c>
      <c r="C49" s="84"/>
      <c r="D49" s="38">
        <v>500</v>
      </c>
      <c r="E49" s="39">
        <v>2</v>
      </c>
      <c r="F49" s="78">
        <f t="shared" si="0"/>
        <v>1000</v>
      </c>
      <c r="G49" s="79"/>
      <c r="H49" s="34"/>
    </row>
    <row r="50" spans="1:8" ht="15.75">
      <c r="A50" s="75"/>
      <c r="B50" s="83" t="s">
        <v>218</v>
      </c>
      <c r="C50" s="84"/>
      <c r="D50" s="38">
        <v>850</v>
      </c>
      <c r="E50" s="39">
        <v>1</v>
      </c>
      <c r="F50" s="78">
        <f t="shared" si="0"/>
        <v>850</v>
      </c>
      <c r="G50" s="79"/>
      <c r="H50" s="34"/>
    </row>
    <row r="51" spans="1:8" ht="15.75">
      <c r="A51" s="75"/>
      <c r="B51" s="83" t="s">
        <v>219</v>
      </c>
      <c r="C51" s="84"/>
      <c r="D51" s="38">
        <v>15</v>
      </c>
      <c r="E51" s="39">
        <v>4</v>
      </c>
      <c r="F51" s="78">
        <f t="shared" si="0"/>
        <v>60</v>
      </c>
      <c r="G51" s="79"/>
      <c r="H51" s="34"/>
    </row>
    <row r="52" spans="1:8" ht="15.75">
      <c r="A52" s="75"/>
      <c r="B52" s="83" t="s">
        <v>220</v>
      </c>
      <c r="C52" s="84"/>
      <c r="D52" s="38">
        <v>40</v>
      </c>
      <c r="E52" s="39">
        <v>15</v>
      </c>
      <c r="F52" s="78">
        <f t="shared" si="0"/>
        <v>600</v>
      </c>
      <c r="G52" s="79"/>
      <c r="H52" s="34"/>
    </row>
    <row r="53" spans="1:8" ht="16.5" customHeight="1">
      <c r="A53" s="75"/>
      <c r="B53" s="83" t="s">
        <v>221</v>
      </c>
      <c r="C53" s="84"/>
      <c r="D53" s="38">
        <v>85</v>
      </c>
      <c r="E53" s="39">
        <v>6</v>
      </c>
      <c r="F53" s="78">
        <f t="shared" si="0"/>
        <v>510</v>
      </c>
      <c r="G53" s="79"/>
      <c r="H53" s="34"/>
    </row>
    <row r="54" spans="1:8" ht="16.5" thickBot="1">
      <c r="A54" s="75"/>
      <c r="B54" s="83" t="s">
        <v>222</v>
      </c>
      <c r="C54" s="84"/>
      <c r="D54" s="38">
        <v>12</v>
      </c>
      <c r="E54" s="39">
        <v>15</v>
      </c>
      <c r="F54" s="85">
        <f t="shared" si="0"/>
        <v>180</v>
      </c>
      <c r="G54" s="86"/>
      <c r="H54" s="34"/>
    </row>
    <row r="55" spans="1:8" ht="16.5" thickBot="1">
      <c r="A55" s="75"/>
      <c r="B55" s="35"/>
      <c r="C55" s="35"/>
      <c r="D55" s="35"/>
      <c r="E55" s="40" t="s">
        <v>223</v>
      </c>
      <c r="F55" s="87">
        <f>SUM(F45:G54)</f>
        <v>4536</v>
      </c>
      <c r="G55" s="88"/>
      <c r="H55" s="26"/>
    </row>
    <row r="56" spans="1:8" ht="33.75" customHeight="1">
      <c r="A56" s="75"/>
      <c r="B56" s="23"/>
      <c r="C56" s="23"/>
      <c r="D56" s="23"/>
      <c r="E56" s="41"/>
      <c r="F56" s="42"/>
      <c r="G56" s="42"/>
      <c r="H56" s="23"/>
    </row>
    <row r="57" spans="1:8" ht="18.75">
      <c r="A57" s="75"/>
      <c r="B57" s="82" t="s">
        <v>224</v>
      </c>
      <c r="C57" s="82"/>
      <c r="D57" s="82"/>
      <c r="E57" s="82"/>
      <c r="F57" s="82"/>
      <c r="G57" s="82"/>
      <c r="H57" s="23"/>
    </row>
    <row r="58" spans="1:8" ht="15.75">
      <c r="A58" s="75"/>
      <c r="B58" s="83" t="s">
        <v>225</v>
      </c>
      <c r="C58" s="84"/>
      <c r="D58" s="38">
        <v>12.5</v>
      </c>
      <c r="E58" s="39">
        <v>40</v>
      </c>
      <c r="F58" s="78">
        <f t="shared" ref="F58:F67" si="1">D58*E58</f>
        <v>500</v>
      </c>
      <c r="G58" s="79"/>
      <c r="H58" s="34"/>
    </row>
    <row r="59" spans="1:8" ht="15.75">
      <c r="A59" s="75"/>
      <c r="B59" s="83" t="s">
        <v>226</v>
      </c>
      <c r="C59" s="84"/>
      <c r="D59" s="38">
        <v>12.5</v>
      </c>
      <c r="E59" s="39">
        <v>40</v>
      </c>
      <c r="F59" s="78">
        <f t="shared" si="1"/>
        <v>500</v>
      </c>
      <c r="G59" s="79"/>
      <c r="H59" s="34"/>
    </row>
    <row r="60" spans="1:8" ht="15.75">
      <c r="A60" s="75"/>
      <c r="B60" s="83" t="s">
        <v>227</v>
      </c>
      <c r="C60" s="84"/>
      <c r="D60" s="38">
        <v>12.5</v>
      </c>
      <c r="E60" s="39">
        <v>80</v>
      </c>
      <c r="F60" s="78">
        <f t="shared" si="1"/>
        <v>1000</v>
      </c>
      <c r="G60" s="79"/>
      <c r="H60" s="34"/>
    </row>
    <row r="61" spans="1:8" ht="15.75">
      <c r="A61" s="75"/>
      <c r="B61" s="83"/>
      <c r="C61" s="84"/>
      <c r="D61" s="38"/>
      <c r="E61" s="39"/>
      <c r="F61" s="78">
        <f t="shared" si="1"/>
        <v>0</v>
      </c>
      <c r="G61" s="79"/>
      <c r="H61" s="34"/>
    </row>
    <row r="62" spans="1:8" ht="15.75">
      <c r="A62" s="75"/>
      <c r="B62" s="83"/>
      <c r="C62" s="84"/>
      <c r="D62" s="38"/>
      <c r="E62" s="39"/>
      <c r="F62" s="78">
        <f t="shared" si="1"/>
        <v>0</v>
      </c>
      <c r="G62" s="79"/>
      <c r="H62" s="34"/>
    </row>
    <row r="63" spans="1:8" ht="15.75">
      <c r="A63" s="75"/>
      <c r="B63" s="83"/>
      <c r="C63" s="84"/>
      <c r="D63" s="38"/>
      <c r="E63" s="39"/>
      <c r="F63" s="78">
        <f t="shared" si="1"/>
        <v>0</v>
      </c>
      <c r="G63" s="79"/>
      <c r="H63" s="34"/>
    </row>
    <row r="64" spans="1:8" ht="15.75">
      <c r="A64" s="75"/>
      <c r="B64" s="83"/>
      <c r="C64" s="84"/>
      <c r="D64" s="38"/>
      <c r="E64" s="39"/>
      <c r="F64" s="78">
        <f t="shared" si="1"/>
        <v>0</v>
      </c>
      <c r="G64" s="79"/>
      <c r="H64" s="34"/>
    </row>
    <row r="65" spans="1:8" ht="15.75">
      <c r="A65" s="75"/>
      <c r="B65" s="83"/>
      <c r="C65" s="84"/>
      <c r="D65" s="38"/>
      <c r="E65" s="39"/>
      <c r="F65" s="78">
        <f t="shared" si="1"/>
        <v>0</v>
      </c>
      <c r="G65" s="79"/>
      <c r="H65" s="34"/>
    </row>
    <row r="66" spans="1:8" ht="15.75">
      <c r="A66" s="75"/>
      <c r="B66" s="83"/>
      <c r="C66" s="84"/>
      <c r="D66" s="38"/>
      <c r="E66" s="39"/>
      <c r="F66" s="78">
        <f t="shared" si="1"/>
        <v>0</v>
      </c>
      <c r="G66" s="79"/>
      <c r="H66" s="34"/>
    </row>
    <row r="67" spans="1:8" ht="15.75">
      <c r="A67" s="75"/>
      <c r="B67" s="83"/>
      <c r="C67" s="84"/>
      <c r="D67" s="38"/>
      <c r="E67" s="39"/>
      <c r="F67" s="78">
        <f t="shared" si="1"/>
        <v>0</v>
      </c>
      <c r="G67" s="79"/>
      <c r="H67" s="34"/>
    </row>
    <row r="68" spans="1:8" ht="16.5" thickBot="1">
      <c r="A68" s="75"/>
      <c r="B68" s="43"/>
      <c r="C68" s="43"/>
      <c r="D68" s="44"/>
      <c r="E68" s="40" t="s">
        <v>223</v>
      </c>
      <c r="F68" s="69">
        <f>SUM(F58:G67)</f>
        <v>2000</v>
      </c>
      <c r="G68" s="70"/>
      <c r="H68" s="26"/>
    </row>
    <row r="69" spans="1:8" ht="15.75">
      <c r="A69" s="75"/>
      <c r="B69" s="31"/>
      <c r="C69" s="31"/>
      <c r="D69" s="45"/>
      <c r="E69" s="41"/>
      <c r="F69" s="42"/>
      <c r="G69" s="42"/>
      <c r="H69" s="23"/>
    </row>
    <row r="70" spans="1:8" ht="18.75">
      <c r="A70" s="75"/>
      <c r="B70" s="82" t="s">
        <v>228</v>
      </c>
      <c r="C70" s="82"/>
      <c r="D70" s="82"/>
      <c r="E70" s="82"/>
      <c r="F70" s="82"/>
      <c r="G70" s="82"/>
      <c r="H70" s="23"/>
    </row>
    <row r="71" spans="1:8" ht="15.75">
      <c r="A71" s="75"/>
      <c r="B71" s="83" t="s">
        <v>229</v>
      </c>
      <c r="C71" s="84"/>
      <c r="D71" s="38" t="s">
        <v>230</v>
      </c>
      <c r="E71" s="39" t="s">
        <v>231</v>
      </c>
      <c r="F71" s="78">
        <v>60880</v>
      </c>
      <c r="G71" s="79"/>
      <c r="H71" s="34"/>
    </row>
    <row r="72" spans="1:8" ht="15.75">
      <c r="A72" s="75"/>
      <c r="B72" s="83" t="s">
        <v>232</v>
      </c>
      <c r="C72" s="84"/>
      <c r="D72" s="38">
        <v>12.5</v>
      </c>
      <c r="E72" s="39">
        <v>960</v>
      </c>
      <c r="F72" s="78">
        <f>D72*E72</f>
        <v>12000</v>
      </c>
      <c r="G72" s="79"/>
      <c r="H72" s="34"/>
    </row>
    <row r="73" spans="1:8" ht="15.75">
      <c r="A73" s="75"/>
      <c r="B73" s="83" t="s">
        <v>233</v>
      </c>
      <c r="C73" s="84"/>
      <c r="D73" s="38">
        <v>12.5</v>
      </c>
      <c r="E73" s="39">
        <v>200</v>
      </c>
      <c r="F73" s="78">
        <f t="shared" ref="F73:F80" si="2">D73*E73</f>
        <v>2500</v>
      </c>
      <c r="G73" s="79"/>
      <c r="H73" s="34"/>
    </row>
    <row r="74" spans="1:8" ht="15.75">
      <c r="A74" s="75"/>
      <c r="B74" s="83" t="s">
        <v>234</v>
      </c>
      <c r="C74" s="84"/>
      <c r="D74" s="38">
        <v>12.5</v>
      </c>
      <c r="E74" s="39">
        <v>200</v>
      </c>
      <c r="F74" s="78">
        <f t="shared" si="2"/>
        <v>2500</v>
      </c>
      <c r="G74" s="79"/>
      <c r="H74" s="34"/>
    </row>
    <row r="75" spans="1:8" ht="15.75">
      <c r="A75" s="75"/>
      <c r="B75" s="83" t="s">
        <v>235</v>
      </c>
      <c r="C75" s="84"/>
      <c r="D75" s="38">
        <v>12.5</v>
      </c>
      <c r="E75" s="39">
        <v>960</v>
      </c>
      <c r="F75" s="78">
        <f t="shared" si="2"/>
        <v>12000</v>
      </c>
      <c r="G75" s="79"/>
      <c r="H75" s="34"/>
    </row>
    <row r="76" spans="1:8" ht="15.75">
      <c r="A76" s="75"/>
      <c r="B76" s="83"/>
      <c r="C76" s="84"/>
      <c r="D76" s="38"/>
      <c r="E76" s="39"/>
      <c r="F76" s="78">
        <f t="shared" si="2"/>
        <v>0</v>
      </c>
      <c r="G76" s="79"/>
      <c r="H76" s="34"/>
    </row>
    <row r="77" spans="1:8" ht="15.75">
      <c r="A77" s="75"/>
      <c r="B77" s="83"/>
      <c r="C77" s="84"/>
      <c r="D77" s="38"/>
      <c r="E77" s="39"/>
      <c r="F77" s="78">
        <f t="shared" si="2"/>
        <v>0</v>
      </c>
      <c r="G77" s="79"/>
      <c r="H77" s="34"/>
    </row>
    <row r="78" spans="1:8" ht="15.75">
      <c r="A78" s="75"/>
      <c r="B78" s="83"/>
      <c r="C78" s="84"/>
      <c r="D78" s="38"/>
      <c r="E78" s="39"/>
      <c r="F78" s="78">
        <f t="shared" si="2"/>
        <v>0</v>
      </c>
      <c r="G78" s="79"/>
      <c r="H78" s="34"/>
    </row>
    <row r="79" spans="1:8" ht="15.75">
      <c r="A79" s="75"/>
      <c r="B79" s="83"/>
      <c r="C79" s="84"/>
      <c r="D79" s="38"/>
      <c r="E79" s="39"/>
      <c r="F79" s="78">
        <f t="shared" si="2"/>
        <v>0</v>
      </c>
      <c r="G79" s="79"/>
      <c r="H79" s="34"/>
    </row>
    <row r="80" spans="1:8" ht="15.75">
      <c r="A80" s="75"/>
      <c r="B80" s="83"/>
      <c r="C80" s="84"/>
      <c r="D80" s="38"/>
      <c r="E80" s="39"/>
      <c r="F80" s="78">
        <f t="shared" si="2"/>
        <v>0</v>
      </c>
      <c r="G80" s="79"/>
      <c r="H80" s="34"/>
    </row>
    <row r="81" spans="1:8" ht="16.5" thickBot="1">
      <c r="A81" s="75"/>
      <c r="B81" s="43"/>
      <c r="C81" s="43"/>
      <c r="D81" s="44"/>
      <c r="E81" s="40" t="s">
        <v>223</v>
      </c>
      <c r="F81" s="69">
        <f>SUM(F71:G80)</f>
        <v>89880</v>
      </c>
      <c r="G81" s="70"/>
      <c r="H81" s="26"/>
    </row>
    <row r="82" spans="1:8" ht="15.75">
      <c r="A82" s="75"/>
      <c r="B82" s="31"/>
      <c r="C82" s="31"/>
      <c r="D82" s="45"/>
      <c r="E82" s="41"/>
      <c r="F82" s="42"/>
      <c r="G82" s="42"/>
      <c r="H82" s="23"/>
    </row>
    <row r="83" spans="1:8" ht="18.75">
      <c r="A83" s="75"/>
      <c r="B83" s="82" t="s">
        <v>236</v>
      </c>
      <c r="C83" s="82"/>
      <c r="D83" s="82"/>
      <c r="E83" s="82"/>
      <c r="F83" s="82"/>
      <c r="G83" s="82"/>
      <c r="H83" s="23"/>
    </row>
    <row r="84" spans="1:8" ht="15.75">
      <c r="A84" s="75"/>
      <c r="B84" s="80"/>
      <c r="C84" s="81"/>
      <c r="D84" s="38"/>
      <c r="E84" s="39"/>
      <c r="F84" s="78">
        <f t="shared" ref="F84:F93" si="3">D84*E84</f>
        <v>0</v>
      </c>
      <c r="G84" s="79"/>
      <c r="H84" s="34"/>
    </row>
    <row r="85" spans="1:8" ht="15.75">
      <c r="A85" s="75"/>
      <c r="B85" s="80"/>
      <c r="C85" s="81"/>
      <c r="D85" s="38"/>
      <c r="E85" s="39"/>
      <c r="F85" s="78">
        <f t="shared" si="3"/>
        <v>0</v>
      </c>
      <c r="G85" s="79"/>
      <c r="H85" s="34"/>
    </row>
    <row r="86" spans="1:8" ht="15.75">
      <c r="A86" s="75"/>
      <c r="B86" s="80"/>
      <c r="C86" s="81"/>
      <c r="D86" s="38"/>
      <c r="E86" s="39"/>
      <c r="F86" s="78">
        <f t="shared" si="3"/>
        <v>0</v>
      </c>
      <c r="G86" s="79"/>
      <c r="H86" s="34"/>
    </row>
    <row r="87" spans="1:8" ht="15.75">
      <c r="A87" s="75"/>
      <c r="B87" s="80"/>
      <c r="C87" s="81"/>
      <c r="D87" s="38"/>
      <c r="E87" s="39"/>
      <c r="F87" s="78">
        <f t="shared" si="3"/>
        <v>0</v>
      </c>
      <c r="G87" s="79"/>
      <c r="H87" s="34"/>
    </row>
    <row r="88" spans="1:8" ht="15.75">
      <c r="A88" s="75"/>
      <c r="B88" s="80"/>
      <c r="C88" s="81"/>
      <c r="D88" s="38"/>
      <c r="E88" s="39"/>
      <c r="F88" s="78">
        <f t="shared" si="3"/>
        <v>0</v>
      </c>
      <c r="G88" s="79"/>
      <c r="H88" s="34"/>
    </row>
    <row r="89" spans="1:8" ht="15.75">
      <c r="A89" s="75"/>
      <c r="B89" s="80"/>
      <c r="C89" s="81"/>
      <c r="D89" s="38"/>
      <c r="E89" s="39"/>
      <c r="F89" s="78">
        <f t="shared" si="3"/>
        <v>0</v>
      </c>
      <c r="G89" s="79"/>
      <c r="H89" s="34"/>
    </row>
    <row r="90" spans="1:8" ht="15.75">
      <c r="A90" s="75"/>
      <c r="B90" s="80"/>
      <c r="C90" s="81"/>
      <c r="D90" s="38"/>
      <c r="E90" s="39"/>
      <c r="F90" s="78">
        <f t="shared" si="3"/>
        <v>0</v>
      </c>
      <c r="G90" s="79"/>
      <c r="H90" s="34"/>
    </row>
    <row r="91" spans="1:8" ht="15.75">
      <c r="A91" s="75"/>
      <c r="B91" s="80"/>
      <c r="C91" s="81"/>
      <c r="D91" s="38"/>
      <c r="E91" s="39"/>
      <c r="F91" s="78">
        <f t="shared" si="3"/>
        <v>0</v>
      </c>
      <c r="G91" s="79"/>
      <c r="H91" s="34"/>
    </row>
    <row r="92" spans="1:8" ht="15.75">
      <c r="A92" s="75"/>
      <c r="B92" s="80"/>
      <c r="C92" s="81"/>
      <c r="D92" s="38"/>
      <c r="E92" s="39"/>
      <c r="F92" s="78">
        <f t="shared" si="3"/>
        <v>0</v>
      </c>
      <c r="G92" s="79"/>
      <c r="H92" s="34"/>
    </row>
    <row r="93" spans="1:8" ht="15.75">
      <c r="A93" s="75"/>
      <c r="B93" s="80"/>
      <c r="C93" s="81"/>
      <c r="D93" s="38"/>
      <c r="E93" s="39"/>
      <c r="F93" s="78">
        <f t="shared" si="3"/>
        <v>0</v>
      </c>
      <c r="G93" s="79"/>
      <c r="H93" s="34"/>
    </row>
    <row r="94" spans="1:8" ht="16.5" thickBot="1">
      <c r="A94" s="75"/>
      <c r="B94" s="43"/>
      <c r="C94" s="43"/>
      <c r="D94" s="44"/>
      <c r="E94" s="40" t="s">
        <v>223</v>
      </c>
      <c r="F94" s="69">
        <f>SUM(F84:G93)</f>
        <v>0</v>
      </c>
      <c r="G94" s="70"/>
      <c r="H94" s="26"/>
    </row>
    <row r="95" spans="1:8" ht="15.75">
      <c r="A95" s="75"/>
      <c r="B95" s="31"/>
      <c r="C95" s="31"/>
      <c r="D95" s="45"/>
      <c r="E95" s="41"/>
      <c r="F95" s="42"/>
      <c r="G95" s="42"/>
      <c r="H95" s="23"/>
    </row>
    <row r="96" spans="1:8" ht="18.75">
      <c r="A96" s="75"/>
      <c r="B96" s="82" t="s">
        <v>237</v>
      </c>
      <c r="C96" s="82"/>
      <c r="D96" s="82"/>
      <c r="E96" s="82"/>
      <c r="F96" s="82"/>
      <c r="G96" s="82"/>
      <c r="H96" s="23"/>
    </row>
    <row r="97" spans="1:8" ht="15.75">
      <c r="A97" s="75"/>
      <c r="B97" s="76" t="s">
        <v>238</v>
      </c>
      <c r="C97" s="77"/>
      <c r="D97" s="38">
        <v>100</v>
      </c>
      <c r="E97" s="39">
        <v>50</v>
      </c>
      <c r="F97" s="78">
        <f t="shared" ref="F97:F106" si="4">D97*E97</f>
        <v>5000</v>
      </c>
      <c r="G97" s="79"/>
      <c r="H97" s="34"/>
    </row>
    <row r="98" spans="1:8" ht="15.75">
      <c r="A98" s="75"/>
      <c r="B98" s="76" t="s">
        <v>239</v>
      </c>
      <c r="C98" s="77"/>
      <c r="D98" s="38">
        <v>0.65</v>
      </c>
      <c r="E98" s="39">
        <v>1000</v>
      </c>
      <c r="F98" s="78">
        <f t="shared" si="4"/>
        <v>650</v>
      </c>
      <c r="G98" s="79"/>
      <c r="H98" s="34"/>
    </row>
    <row r="99" spans="1:8" ht="15.75">
      <c r="A99" s="75"/>
      <c r="B99" s="76" t="s">
        <v>240</v>
      </c>
      <c r="C99" s="77"/>
      <c r="D99" s="38"/>
      <c r="E99" s="39"/>
      <c r="F99" s="78">
        <v>5000</v>
      </c>
      <c r="G99" s="79"/>
      <c r="H99" s="34"/>
    </row>
    <row r="100" spans="1:8" ht="15.75">
      <c r="A100" s="75"/>
      <c r="B100" s="76" t="s">
        <v>241</v>
      </c>
      <c r="C100" s="77"/>
      <c r="D100" s="38"/>
      <c r="E100" s="39"/>
      <c r="F100" s="78">
        <v>4000</v>
      </c>
      <c r="G100" s="79"/>
      <c r="H100" s="34"/>
    </row>
    <row r="101" spans="1:8" ht="15.75">
      <c r="A101" s="75"/>
      <c r="B101" s="76" t="s">
        <v>242</v>
      </c>
      <c r="C101" s="77"/>
      <c r="D101" s="38"/>
      <c r="E101" s="39"/>
      <c r="F101" s="78">
        <v>2000</v>
      </c>
      <c r="G101" s="79"/>
      <c r="H101" s="34"/>
    </row>
    <row r="102" spans="1:8" ht="15.75">
      <c r="A102" s="75"/>
      <c r="B102" s="76"/>
      <c r="C102" s="77"/>
      <c r="D102" s="38"/>
      <c r="E102" s="39"/>
      <c r="F102" s="78">
        <f t="shared" si="4"/>
        <v>0</v>
      </c>
      <c r="G102" s="79"/>
      <c r="H102" s="34"/>
    </row>
    <row r="103" spans="1:8" ht="15.75">
      <c r="A103" s="75"/>
      <c r="B103" s="76"/>
      <c r="C103" s="77"/>
      <c r="D103" s="38"/>
      <c r="E103" s="39"/>
      <c r="F103" s="78">
        <f t="shared" si="4"/>
        <v>0</v>
      </c>
      <c r="G103" s="79"/>
      <c r="H103" s="34"/>
    </row>
    <row r="104" spans="1:8" ht="15.75">
      <c r="A104" s="75"/>
      <c r="B104" s="76"/>
      <c r="C104" s="77"/>
      <c r="D104" s="38"/>
      <c r="E104" s="39"/>
      <c r="F104" s="78">
        <f t="shared" si="4"/>
        <v>0</v>
      </c>
      <c r="G104" s="79"/>
      <c r="H104" s="34"/>
    </row>
    <row r="105" spans="1:8" ht="15.75">
      <c r="A105" s="75"/>
      <c r="B105" s="76"/>
      <c r="C105" s="77"/>
      <c r="D105" s="38"/>
      <c r="E105" s="39"/>
      <c r="F105" s="78">
        <f t="shared" si="4"/>
        <v>0</v>
      </c>
      <c r="G105" s="79"/>
      <c r="H105" s="34"/>
    </row>
    <row r="106" spans="1:8" ht="15.75">
      <c r="A106" s="75"/>
      <c r="B106" s="76"/>
      <c r="C106" s="77"/>
      <c r="D106" s="38"/>
      <c r="E106" s="39"/>
      <c r="F106" s="78">
        <f t="shared" si="4"/>
        <v>0</v>
      </c>
      <c r="G106" s="79"/>
      <c r="H106" s="34"/>
    </row>
    <row r="107" spans="1:8" ht="16.5" thickBot="1">
      <c r="A107" s="75"/>
      <c r="B107" s="43"/>
      <c r="C107" s="43"/>
      <c r="D107" s="44"/>
      <c r="E107" s="40" t="s">
        <v>223</v>
      </c>
      <c r="F107" s="69">
        <f>SUM(F97:G106)</f>
        <v>16650</v>
      </c>
      <c r="G107" s="70"/>
      <c r="H107" s="26"/>
    </row>
    <row r="108" spans="1:8" ht="16.5" thickBot="1">
      <c r="A108" s="75"/>
      <c r="B108" s="31"/>
      <c r="C108" s="31"/>
      <c r="D108" s="45"/>
      <c r="E108" s="23"/>
      <c r="F108" s="46"/>
      <c r="G108" s="46"/>
      <c r="H108" s="23"/>
    </row>
    <row r="109" spans="1:8" ht="21.75" thickBot="1">
      <c r="A109" s="75"/>
      <c r="B109" s="31"/>
      <c r="C109" s="31"/>
      <c r="D109" s="45"/>
      <c r="E109" s="47" t="s">
        <v>243</v>
      </c>
      <c r="F109" s="71">
        <f>SUM(F107,F94,F81,F68,F55,)</f>
        <v>113066</v>
      </c>
      <c r="G109" s="72"/>
      <c r="H109" s="26"/>
    </row>
    <row r="110" spans="1:8" ht="15.75">
      <c r="A110" s="75"/>
      <c r="B110" s="31"/>
      <c r="C110" s="31"/>
      <c r="D110" s="45"/>
      <c r="E110" s="23"/>
      <c r="F110" s="42"/>
      <c r="G110" s="42"/>
      <c r="H110" s="23"/>
    </row>
    <row r="111" spans="1:8" ht="16.5" thickBot="1">
      <c r="A111" s="75"/>
      <c r="B111" s="23"/>
      <c r="C111" s="23"/>
      <c r="D111" s="23"/>
      <c r="E111" s="23"/>
      <c r="F111" s="23"/>
      <c r="G111" s="23"/>
      <c r="H111" s="23"/>
    </row>
    <row r="112" spans="1:8" ht="16.5" thickBot="1">
      <c r="A112" s="75"/>
      <c r="B112" s="29"/>
      <c r="C112" s="29"/>
      <c r="D112" s="29"/>
      <c r="E112" s="29"/>
      <c r="F112" s="29"/>
      <c r="G112" s="29"/>
      <c r="H112" s="23"/>
    </row>
    <row r="113" spans="1:8" ht="15.75">
      <c r="A113" s="75"/>
      <c r="B113" s="29"/>
      <c r="C113" s="29"/>
      <c r="D113" s="29"/>
      <c r="E113" s="29"/>
      <c r="F113" s="29"/>
      <c r="G113" s="29"/>
      <c r="H113" s="23"/>
    </row>
    <row r="114" spans="1:8" ht="23.25">
      <c r="A114" s="75"/>
      <c r="B114" s="73" t="s">
        <v>244</v>
      </c>
      <c r="C114" s="74"/>
      <c r="D114" s="74"/>
      <c r="E114" s="74"/>
      <c r="F114" s="74"/>
      <c r="G114" s="74"/>
      <c r="H114" s="75"/>
    </row>
    <row r="115" spans="1:8" ht="15.75">
      <c r="A115" s="75"/>
      <c r="B115" s="23"/>
      <c r="C115" s="23"/>
      <c r="D115" s="23"/>
      <c r="E115" s="23"/>
      <c r="F115" s="23"/>
      <c r="G115" s="23"/>
      <c r="H115" s="75"/>
    </row>
    <row r="116" spans="1:8" ht="23.25">
      <c r="A116" s="75"/>
      <c r="B116" s="73"/>
      <c r="C116" s="74"/>
      <c r="D116" s="74"/>
      <c r="E116" s="74"/>
      <c r="F116" s="74"/>
      <c r="G116" s="74"/>
      <c r="H116" s="75"/>
    </row>
    <row r="117" spans="1:8">
      <c r="A117" s="75"/>
    </row>
    <row r="118" spans="1:8">
      <c r="A118" s="75"/>
    </row>
    <row r="119" spans="1:8">
      <c r="A119" s="75"/>
    </row>
    <row r="120" spans="1:8">
      <c r="A120" s="75"/>
    </row>
    <row r="121" spans="1:8">
      <c r="A121" s="75"/>
    </row>
    <row r="122" spans="1:8">
      <c r="A122" s="75"/>
    </row>
    <row r="123" spans="1:8">
      <c r="A123" s="75"/>
    </row>
    <row r="124" spans="1:8">
      <c r="A124" s="75"/>
    </row>
    <row r="125" spans="1:8">
      <c r="A125" s="75"/>
    </row>
    <row r="126" spans="1:8">
      <c r="A126" s="75"/>
    </row>
    <row r="127" spans="1:8">
      <c r="A127" s="75"/>
    </row>
    <row r="128" spans="1:8">
      <c r="A128" s="75"/>
    </row>
    <row r="129" spans="1:1" ht="35.25" customHeight="1">
      <c r="A129" s="75"/>
    </row>
    <row r="130" spans="1:1" ht="79.5" customHeight="1">
      <c r="A130" s="75"/>
    </row>
    <row r="131" spans="1:1">
      <c r="A131" s="75"/>
    </row>
    <row r="132" spans="1:1" ht="16.5" customHeight="1">
      <c r="A132" s="75"/>
    </row>
    <row r="133" spans="1:1" ht="60" customHeight="1">
      <c r="A133" s="75"/>
    </row>
    <row r="134" spans="1:1">
      <c r="A134" s="75"/>
    </row>
    <row r="135" spans="1:1">
      <c r="A135" s="75"/>
    </row>
    <row r="136" spans="1:1">
      <c r="A136" s="75"/>
    </row>
    <row r="137" spans="1:1">
      <c r="A137" s="75"/>
    </row>
    <row r="138" spans="1:1" ht="33" customHeight="1">
      <c r="A138" s="75"/>
    </row>
    <row r="139" spans="1:1" ht="61.5" customHeight="1">
      <c r="A139" s="75"/>
    </row>
    <row r="140" spans="1:1">
      <c r="A140" s="75"/>
    </row>
    <row r="141" spans="1:1" ht="16.5" customHeight="1">
      <c r="A141" s="75"/>
    </row>
    <row r="142" spans="1:1" ht="57" customHeight="1">
      <c r="A142" s="75"/>
    </row>
    <row r="143" spans="1:1" ht="15.75" customHeight="1">
      <c r="A143" s="75"/>
    </row>
    <row r="144" spans="1:1" ht="30" customHeight="1">
      <c r="A144" s="75"/>
    </row>
    <row r="145" spans="1:1" ht="7.5" customHeight="1">
      <c r="A145" s="75"/>
    </row>
    <row r="146" spans="1:1">
      <c r="A146" s="75"/>
    </row>
    <row r="147" spans="1:1">
      <c r="A147" s="75"/>
    </row>
    <row r="148" spans="1:1" ht="14.25" customHeight="1">
      <c r="A148" s="75"/>
    </row>
    <row r="149" spans="1:1" ht="6.75" customHeight="1">
      <c r="A149" s="75"/>
    </row>
    <row r="150" spans="1:1" ht="36.75" customHeight="1">
      <c r="A150" s="75"/>
    </row>
    <row r="151" spans="1:1">
      <c r="A151" s="75"/>
    </row>
    <row r="152" spans="1:1" ht="16.5" customHeight="1">
      <c r="A152" s="75"/>
    </row>
    <row r="153" spans="1:1" ht="57" customHeight="1">
      <c r="A153" s="75"/>
    </row>
    <row r="154" spans="1:1">
      <c r="A154" s="75"/>
    </row>
    <row r="155" spans="1:1" ht="54.75" customHeight="1">
      <c r="A155" s="75"/>
    </row>
    <row r="156" spans="1:1">
      <c r="A156" s="75"/>
    </row>
    <row r="157" spans="1:1" ht="16.5" customHeight="1">
      <c r="A157" s="75"/>
    </row>
    <row r="158" spans="1:1" ht="110.25" customHeight="1">
      <c r="A158" s="75"/>
    </row>
    <row r="159" spans="1:1">
      <c r="A159" s="75"/>
    </row>
    <row r="160" spans="1:1" ht="16.5" customHeight="1">
      <c r="A160" s="75"/>
    </row>
    <row r="161" spans="1:1" ht="99" customHeight="1">
      <c r="A161" s="75"/>
    </row>
    <row r="162" spans="1:1">
      <c r="A162" s="75"/>
    </row>
    <row r="163" spans="1:1">
      <c r="A163" s="75"/>
    </row>
    <row r="164" spans="1:1">
      <c r="A164" s="75"/>
    </row>
    <row r="165" spans="1:1">
      <c r="A165" s="75"/>
    </row>
  </sheetData>
  <mergeCells count="163">
    <mergeCell ref="D16:E17"/>
    <mergeCell ref="B20:H20"/>
    <mergeCell ref="B21:G21"/>
    <mergeCell ref="B24:G24"/>
    <mergeCell ref="B26:C26"/>
    <mergeCell ref="D26:E26"/>
    <mergeCell ref="F26:G26"/>
    <mergeCell ref="A1:A165"/>
    <mergeCell ref="B1:G1"/>
    <mergeCell ref="B2:G2"/>
    <mergeCell ref="B4:G10"/>
    <mergeCell ref="B11:H11"/>
    <mergeCell ref="B13:C13"/>
    <mergeCell ref="D13:G13"/>
    <mergeCell ref="B14:C14"/>
    <mergeCell ref="B15:C15"/>
    <mergeCell ref="B16:C17"/>
    <mergeCell ref="B29:C29"/>
    <mergeCell ref="D29:E29"/>
    <mergeCell ref="F29:G29"/>
    <mergeCell ref="D30:E30"/>
    <mergeCell ref="F30:G30"/>
    <mergeCell ref="D31:E31"/>
    <mergeCell ref="F31:G31"/>
    <mergeCell ref="B27:C27"/>
    <mergeCell ref="D27:E27"/>
    <mergeCell ref="F27:G27"/>
    <mergeCell ref="B28:C28"/>
    <mergeCell ref="D28:E28"/>
    <mergeCell ref="F28:G28"/>
    <mergeCell ref="B35:C35"/>
    <mergeCell ref="D35:E35"/>
    <mergeCell ref="F35:G35"/>
    <mergeCell ref="B36:C36"/>
    <mergeCell ref="D36:E36"/>
    <mergeCell ref="F36:G36"/>
    <mergeCell ref="D32:E32"/>
    <mergeCell ref="F32:G32"/>
    <mergeCell ref="D33:E33"/>
    <mergeCell ref="F33:G33"/>
    <mergeCell ref="B34:C34"/>
    <mergeCell ref="D34:E34"/>
    <mergeCell ref="F34:G34"/>
    <mergeCell ref="B44:G44"/>
    <mergeCell ref="B45:C45"/>
    <mergeCell ref="F45:G45"/>
    <mergeCell ref="B46:C46"/>
    <mergeCell ref="F46:G46"/>
    <mergeCell ref="B47:C47"/>
    <mergeCell ref="F47:G47"/>
    <mergeCell ref="B37:C37"/>
    <mergeCell ref="D37:E37"/>
    <mergeCell ref="F37:G37"/>
    <mergeCell ref="B40:G40"/>
    <mergeCell ref="B42:C42"/>
    <mergeCell ref="F42:G42"/>
    <mergeCell ref="B51:C51"/>
    <mergeCell ref="F51:G51"/>
    <mergeCell ref="B52:C52"/>
    <mergeCell ref="F52:G52"/>
    <mergeCell ref="B53:C53"/>
    <mergeCell ref="F53:G53"/>
    <mergeCell ref="B48:C48"/>
    <mergeCell ref="F48:G48"/>
    <mergeCell ref="B49:C49"/>
    <mergeCell ref="F49:G49"/>
    <mergeCell ref="B50:C50"/>
    <mergeCell ref="F50:G50"/>
    <mergeCell ref="B59:C59"/>
    <mergeCell ref="F59:G59"/>
    <mergeCell ref="B60:C60"/>
    <mergeCell ref="F60:G60"/>
    <mergeCell ref="B61:C61"/>
    <mergeCell ref="F61:G61"/>
    <mergeCell ref="B54:C54"/>
    <mergeCell ref="F54:G54"/>
    <mergeCell ref="F55:G55"/>
    <mergeCell ref="B57:G57"/>
    <mergeCell ref="B58:C58"/>
    <mergeCell ref="F58:G58"/>
    <mergeCell ref="B65:C65"/>
    <mergeCell ref="F65:G65"/>
    <mergeCell ref="B66:C66"/>
    <mergeCell ref="F66:G66"/>
    <mergeCell ref="B67:C67"/>
    <mergeCell ref="F67:G67"/>
    <mergeCell ref="B62:C62"/>
    <mergeCell ref="F62:G62"/>
    <mergeCell ref="B63:C63"/>
    <mergeCell ref="F63:G63"/>
    <mergeCell ref="B64:C64"/>
    <mergeCell ref="F64:G64"/>
    <mergeCell ref="B73:C73"/>
    <mergeCell ref="F73:G73"/>
    <mergeCell ref="B74:C74"/>
    <mergeCell ref="F74:G74"/>
    <mergeCell ref="B75:C75"/>
    <mergeCell ref="F75:G75"/>
    <mergeCell ref="F68:G68"/>
    <mergeCell ref="B70:G70"/>
    <mergeCell ref="B71:C71"/>
    <mergeCell ref="F71:G71"/>
    <mergeCell ref="B72:C72"/>
    <mergeCell ref="F72:G72"/>
    <mergeCell ref="B79:C79"/>
    <mergeCell ref="F79:G79"/>
    <mergeCell ref="B80:C80"/>
    <mergeCell ref="F80:G80"/>
    <mergeCell ref="F81:G81"/>
    <mergeCell ref="B83:G83"/>
    <mergeCell ref="B76:C76"/>
    <mergeCell ref="F76:G76"/>
    <mergeCell ref="B77:C77"/>
    <mergeCell ref="F77:G77"/>
    <mergeCell ref="B78:C78"/>
    <mergeCell ref="F78:G78"/>
    <mergeCell ref="B87:C87"/>
    <mergeCell ref="F87:G87"/>
    <mergeCell ref="B88:C88"/>
    <mergeCell ref="F88:G88"/>
    <mergeCell ref="B89:C89"/>
    <mergeCell ref="F89:G89"/>
    <mergeCell ref="B84:C84"/>
    <mergeCell ref="F84:G84"/>
    <mergeCell ref="B85:C85"/>
    <mergeCell ref="F85:G85"/>
    <mergeCell ref="B86:C86"/>
    <mergeCell ref="F86:G86"/>
    <mergeCell ref="B93:C93"/>
    <mergeCell ref="F93:G93"/>
    <mergeCell ref="F94:G94"/>
    <mergeCell ref="B96:G96"/>
    <mergeCell ref="B97:C97"/>
    <mergeCell ref="F97:G97"/>
    <mergeCell ref="B90:C90"/>
    <mergeCell ref="F90:G90"/>
    <mergeCell ref="B91:C91"/>
    <mergeCell ref="F91:G91"/>
    <mergeCell ref="B92:C92"/>
    <mergeCell ref="F92:G92"/>
    <mergeCell ref="B101:C101"/>
    <mergeCell ref="F101:G101"/>
    <mergeCell ref="B102:C102"/>
    <mergeCell ref="F102:G102"/>
    <mergeCell ref="B103:C103"/>
    <mergeCell ref="F103:G103"/>
    <mergeCell ref="B98:C98"/>
    <mergeCell ref="F98:G98"/>
    <mergeCell ref="B99:C99"/>
    <mergeCell ref="F99:G99"/>
    <mergeCell ref="B100:C100"/>
    <mergeCell ref="F100:G100"/>
    <mergeCell ref="F107:G107"/>
    <mergeCell ref="F109:G109"/>
    <mergeCell ref="B114:G114"/>
    <mergeCell ref="H114:H116"/>
    <mergeCell ref="B116:G116"/>
    <mergeCell ref="B104:C104"/>
    <mergeCell ref="F104:G104"/>
    <mergeCell ref="B105:C105"/>
    <mergeCell ref="F105:G105"/>
    <mergeCell ref="B106:C106"/>
    <mergeCell ref="F106:G106"/>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3008281C04845448BB7FBA6A1B41A74C" ma:contentTypeVersion="16" ma:contentTypeDescription="Create a new document." ma:contentTypeScope="" ma:versionID="ae6b86c258ca19772aeb545b086c9205">
  <xsd:schema xmlns:xsd="http://www.w3.org/2001/XMLSchema" xmlns:xs="http://www.w3.org/2001/XMLSchema" xmlns:p="http://schemas.microsoft.com/office/2006/metadata/properties" xmlns:ns2="3a4e9902-0fe0-4fc0-bc3e-2f7ee15b302c" xmlns:ns3="601c975d-f7cf-469f-bc86-88adfdad3821" targetNamespace="http://schemas.microsoft.com/office/2006/metadata/properties" ma:root="true" ma:fieldsID="fd59297a06c8f3897030084a2eae6ad3" ns2:_="" ns3:_="">
    <xsd:import namespace="3a4e9902-0fe0-4fc0-bc3e-2f7ee15b302c"/>
    <xsd:import namespace="601c975d-f7cf-469f-bc86-88adfdad382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lcf76f155ced4ddcb4097134ff3c332f" minOccurs="0"/>
                <xsd:element ref="ns2:MediaServiceOCR" minOccurs="0"/>
                <xsd:element ref="ns2:MediaServiceGenerationTime" minOccurs="0"/>
                <xsd:element ref="ns2:MediaServiceEventHashCode" minOccurs="0"/>
                <xsd:element ref="ns2:MediaServiceDateTaken" minOccurs="0"/>
                <xsd:element ref="ns2:MediaServiceObjectDetectorVersions" minOccurs="0"/>
                <xsd:element ref="ns2:MediaServiceLocation" minOccurs="0"/>
                <xsd:element ref="ns2:MediaServiceSearchPropertie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a4e9902-0fe0-4fc0-bc3e-2f7ee15b302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576e6ad8-52fe-412f-a0b9-03ea580b6293"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Location" ma:index="21" nillable="true" ma:displayName="Location" ma:indexed="true" ma:internalName="MediaServiceLocation"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MediaLengthInSeconds" ma:index="23"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601c975d-f7cf-469f-bc86-88adfdad3821"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3a4e9902-0fe0-4fc0-bc3e-2f7ee15b302c">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DC1E240B-329D-4DC9-8C87-2031E1A63E9D}"/>
</file>

<file path=customXml/itemProps2.xml><?xml version="1.0" encoding="utf-8"?>
<ds:datastoreItem xmlns:ds="http://schemas.openxmlformats.org/officeDocument/2006/customXml" ds:itemID="{3AC22C31-F310-45C5-80B0-19B2347DD443}"/>
</file>

<file path=customXml/itemProps3.xml><?xml version="1.0" encoding="utf-8"?>
<ds:datastoreItem xmlns:ds="http://schemas.openxmlformats.org/officeDocument/2006/customXml" ds:itemID="{120E82EE-2CD5-4C84-8E43-C65AE68A3607}"/>
</file>

<file path=docProps/app.xml><?xml version="1.0" encoding="utf-8"?>
<Properties xmlns="http://schemas.openxmlformats.org/officeDocument/2006/extended-properties" xmlns:vt="http://schemas.openxmlformats.org/officeDocument/2006/docPropsVTypes">
  <Application>Microsoft Excel Online</Application>
  <Manager/>
  <Company>University of Illinois</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Stephen Tondini</dc:creator>
  <cp:keywords/>
  <dc:description/>
  <cp:lastModifiedBy>X</cp:lastModifiedBy>
  <cp:revision/>
  <dcterms:created xsi:type="dcterms:W3CDTF">1999-01-29T05:22:40Z</dcterms:created>
  <dcterms:modified xsi:type="dcterms:W3CDTF">2024-11-11T20:26:53Z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0x0101003008281C04845448BB7FBA6A1B41A74C</vt:lpwstr>
  </property>
</Properties>
</file>